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Version A" sheetId="1" r:id="rId1"/>
    <sheet name="Version B" sheetId="2" r:id="rId2"/>
  </sheets>
  <calcPr calcId="125725"/>
</workbook>
</file>

<file path=xl/calcChain.xml><?xml version="1.0" encoding="utf-8"?>
<calcChain xmlns="http://schemas.openxmlformats.org/spreadsheetml/2006/main">
  <c r="F93" i="1"/>
  <c r="F93" i="2"/>
  <c r="F155"/>
  <c r="F150"/>
  <c r="E121"/>
  <c r="I150"/>
  <c r="F143"/>
  <c r="F135"/>
  <c r="F137" s="1"/>
  <c r="J128"/>
  <c r="B121"/>
  <c r="E117"/>
  <c r="F111"/>
  <c r="G105"/>
  <c r="G99"/>
  <c r="F83"/>
  <c r="B90" s="1"/>
  <c r="F77"/>
  <c r="F85" s="1"/>
  <c r="I85" s="1"/>
  <c r="N63"/>
  <c r="L63"/>
  <c r="J63"/>
  <c r="H63"/>
  <c r="F63"/>
  <c r="E63"/>
  <c r="O63" s="1"/>
  <c r="B59"/>
  <c r="F46"/>
  <c r="F44"/>
  <c r="F33"/>
  <c r="I35" s="1"/>
  <c r="B26"/>
  <c r="G28" s="1"/>
  <c r="E11"/>
  <c r="E13" s="1"/>
  <c r="E18" s="1"/>
  <c r="L3"/>
  <c r="C4" s="1"/>
  <c r="J128" i="1"/>
  <c r="E121"/>
  <c r="I121" s="1"/>
  <c r="F155"/>
  <c r="I150"/>
  <c r="F150"/>
  <c r="F143"/>
  <c r="F137"/>
  <c r="F135"/>
  <c r="E117"/>
  <c r="B121"/>
  <c r="F111"/>
  <c r="G105"/>
  <c r="G99"/>
  <c r="E72"/>
  <c r="F90"/>
  <c r="B90"/>
  <c r="I85"/>
  <c r="F85"/>
  <c r="F83"/>
  <c r="F77"/>
  <c r="B71"/>
  <c r="E67"/>
  <c r="F65"/>
  <c r="G65"/>
  <c r="H65"/>
  <c r="I65"/>
  <c r="J65"/>
  <c r="K65"/>
  <c r="L65"/>
  <c r="M65"/>
  <c r="N65"/>
  <c r="O65"/>
  <c r="E65"/>
  <c r="O64"/>
  <c r="F64"/>
  <c r="E64"/>
  <c r="O63"/>
  <c r="N63"/>
  <c r="M63"/>
  <c r="L63"/>
  <c r="K63"/>
  <c r="J63"/>
  <c r="I63"/>
  <c r="H63"/>
  <c r="G63"/>
  <c r="F63"/>
  <c r="E63"/>
  <c r="G64"/>
  <c r="B59"/>
  <c r="F46"/>
  <c r="F44"/>
  <c r="E60" s="1"/>
  <c r="F33"/>
  <c r="I35" s="1"/>
  <c r="G28"/>
  <c r="B26"/>
  <c r="E11"/>
  <c r="E13" s="1"/>
  <c r="E18" s="1"/>
  <c r="L3"/>
  <c r="C4" s="1"/>
  <c r="E60" i="2" l="1"/>
  <c r="E52"/>
  <c r="E64" s="1"/>
  <c r="B71" s="1"/>
  <c r="E65"/>
  <c r="F64"/>
  <c r="F90"/>
  <c r="I121"/>
  <c r="E48"/>
  <c r="F52"/>
  <c r="G63"/>
  <c r="I63"/>
  <c r="K63"/>
  <c r="M63"/>
  <c r="E53"/>
  <c r="E52" i="1"/>
  <c r="E48"/>
  <c r="H64"/>
  <c r="E72" i="2" l="1"/>
  <c r="G52"/>
  <c r="F53"/>
  <c r="F65"/>
  <c r="G64"/>
  <c r="E53" i="1"/>
  <c r="F52"/>
  <c r="I64"/>
  <c r="G53" i="2" l="1"/>
  <c r="H52"/>
  <c r="G65"/>
  <c r="H64"/>
  <c r="G52" i="1"/>
  <c r="F53"/>
  <c r="J64"/>
  <c r="H65" i="2" l="1"/>
  <c r="I64"/>
  <c r="I52"/>
  <c r="H53"/>
  <c r="G53" i="1"/>
  <c r="H52"/>
  <c r="K64"/>
  <c r="I53" i="2" l="1"/>
  <c r="J52"/>
  <c r="I65"/>
  <c r="J64"/>
  <c r="I52" i="1"/>
  <c r="H53"/>
  <c r="L64"/>
  <c r="J65" i="2" l="1"/>
  <c r="K64"/>
  <c r="K52"/>
  <c r="J53"/>
  <c r="J52" i="1"/>
  <c r="I53"/>
  <c r="M64"/>
  <c r="K53" i="2" l="1"/>
  <c r="L52"/>
  <c r="K65"/>
  <c r="L64"/>
  <c r="K52" i="1"/>
  <c r="J53"/>
  <c r="N64"/>
  <c r="L65" i="2" l="1"/>
  <c r="M64"/>
  <c r="M52"/>
  <c r="L53"/>
  <c r="L52" i="1"/>
  <c r="K53"/>
  <c r="M53" i="2" l="1"/>
  <c r="N52"/>
  <c r="M65"/>
  <c r="N64"/>
  <c r="N65" s="1"/>
  <c r="M52" i="1"/>
  <c r="L53"/>
  <c r="O64" i="2" l="1"/>
  <c r="O65" s="1"/>
  <c r="E67" s="1"/>
  <c r="N53"/>
  <c r="E55" s="1"/>
  <c r="M53" i="1"/>
  <c r="N52"/>
  <c r="N53" s="1"/>
  <c r="E55" l="1"/>
</calcChain>
</file>

<file path=xl/sharedStrings.xml><?xml version="1.0" encoding="utf-8"?>
<sst xmlns="http://schemas.openxmlformats.org/spreadsheetml/2006/main" count="220" uniqueCount="80">
  <si>
    <t>SAIR</t>
  </si>
  <si>
    <t>(quarterly compounding)</t>
  </si>
  <si>
    <t xml:space="preserve">EAIR = </t>
  </si>
  <si>
    <t>(monthly compounding)</t>
  </si>
  <si>
    <r>
      <t>I</t>
    </r>
    <r>
      <rPr>
        <vertAlign val="subscript"/>
        <sz val="10"/>
        <color theme="1"/>
        <rFont val="Calibri"/>
        <family val="2"/>
        <scheme val="minor"/>
      </rPr>
      <t>0</t>
    </r>
  </si>
  <si>
    <t>T</t>
  </si>
  <si>
    <r>
      <t xml:space="preserve">r </t>
    </r>
    <r>
      <rPr>
        <vertAlign val="subscript"/>
        <sz val="10"/>
        <color theme="1"/>
        <rFont val="Calibri"/>
        <family val="2"/>
        <scheme val="minor"/>
      </rPr>
      <t>semester</t>
    </r>
    <r>
      <rPr>
        <sz val="10"/>
        <color theme="1"/>
        <rFont val="Calibri"/>
        <family val="2"/>
        <scheme val="minor"/>
      </rPr>
      <t xml:space="preserve"> =</t>
    </r>
  </si>
  <si>
    <t>CF</t>
  </si>
  <si>
    <t xml:space="preserve">CF = </t>
  </si>
  <si>
    <r>
      <t xml:space="preserve"># </t>
    </r>
    <r>
      <rPr>
        <vertAlign val="subscript"/>
        <sz val="10"/>
        <color theme="1"/>
        <rFont val="Calibri"/>
        <family val="2"/>
        <scheme val="minor"/>
      </rPr>
      <t>periods/year</t>
    </r>
  </si>
  <si>
    <t xml:space="preserve">Debt = </t>
  </si>
  <si>
    <t>FV</t>
  </si>
  <si>
    <t>(daily compounding)</t>
  </si>
  <si>
    <r>
      <t xml:space="preserve">10.000 (1+ 2,02%)^T = 20.000 </t>
    </r>
    <r>
      <rPr>
        <sz val="10"/>
        <color theme="1"/>
        <rFont val="Calibri"/>
        <family val="2"/>
      </rPr>
      <t>↔</t>
    </r>
  </si>
  <si>
    <t>T =</t>
  </si>
  <si>
    <r>
      <t>Expenses</t>
    </r>
    <r>
      <rPr>
        <vertAlign val="subscript"/>
        <sz val="10"/>
        <color theme="1"/>
        <rFont val="Calibri"/>
        <family val="2"/>
        <scheme val="minor"/>
      </rPr>
      <t>46</t>
    </r>
  </si>
  <si>
    <t>g</t>
  </si>
  <si>
    <r>
      <t xml:space="preserve">T </t>
    </r>
    <r>
      <rPr>
        <vertAlign val="subscript"/>
        <sz val="10"/>
        <color theme="1"/>
        <rFont val="Calibri"/>
        <family val="2"/>
        <scheme val="minor"/>
      </rPr>
      <t>retirement</t>
    </r>
  </si>
  <si>
    <r>
      <t xml:space="preserve">T </t>
    </r>
    <r>
      <rPr>
        <vertAlign val="subscript"/>
        <sz val="10"/>
        <color theme="1"/>
        <rFont val="Calibri"/>
        <family val="2"/>
        <scheme val="minor"/>
      </rPr>
      <t>working</t>
    </r>
  </si>
  <si>
    <t>EAIR</t>
  </si>
  <si>
    <t>PV (Annuity Expenses) =</t>
  </si>
  <si>
    <t>PV (Annuity Expenses) = PV (Pension Plan) ↔</t>
  </si>
  <si>
    <t>c</t>
  </si>
  <si>
    <t xml:space="preserve">(semi-annual coupons) </t>
  </si>
  <si>
    <t>YTM</t>
  </si>
  <si>
    <r>
      <t xml:space="preserve">coupon rate </t>
    </r>
    <r>
      <rPr>
        <vertAlign val="subscript"/>
        <sz val="10"/>
        <color theme="1"/>
        <rFont val="Calibri"/>
        <family val="2"/>
        <scheme val="minor"/>
      </rPr>
      <t>semester</t>
    </r>
    <r>
      <rPr>
        <sz val="10"/>
        <color theme="1"/>
        <rFont val="Calibri"/>
        <family val="2"/>
        <scheme val="minor"/>
      </rPr>
      <t xml:space="preserve"> =</t>
    </r>
  </si>
  <si>
    <r>
      <t xml:space="preserve">YTM </t>
    </r>
    <r>
      <rPr>
        <vertAlign val="subscript"/>
        <sz val="10"/>
        <color theme="1"/>
        <rFont val="Calibri"/>
        <family val="2"/>
        <scheme val="minor"/>
      </rPr>
      <t>semester</t>
    </r>
    <r>
      <rPr>
        <sz val="10"/>
        <color theme="1"/>
        <rFont val="Calibri"/>
        <family val="2"/>
        <scheme val="minor"/>
      </rPr>
      <t xml:space="preserve"> =</t>
    </r>
  </si>
  <si>
    <t xml:space="preserve">P = </t>
  </si>
  <si>
    <t>Check</t>
  </si>
  <si>
    <t>DCF</t>
  </si>
  <si>
    <t>P =</t>
  </si>
  <si>
    <t xml:space="preserve">Dirty Price = </t>
  </si>
  <si>
    <t>AI =</t>
  </si>
  <si>
    <t>Clean Price =</t>
  </si>
  <si>
    <t>ZC 1y</t>
  </si>
  <si>
    <t>ZC 3y</t>
  </si>
  <si>
    <t xml:space="preserve">s3 = </t>
  </si>
  <si>
    <t>s1</t>
  </si>
  <si>
    <t>s1 =</t>
  </si>
  <si>
    <t>f 1;3 =</t>
  </si>
  <si>
    <t xml:space="preserve">f 1;2 </t>
  </si>
  <si>
    <t>s2 =</t>
  </si>
  <si>
    <t>ROE</t>
  </si>
  <si>
    <t>r</t>
  </si>
  <si>
    <t>Div. Yield</t>
  </si>
  <si>
    <t>g =</t>
  </si>
  <si>
    <r>
      <t xml:space="preserve">r = Div. Yield + g       </t>
    </r>
    <r>
      <rPr>
        <sz val="10"/>
        <color theme="1"/>
        <rFont val="Calibri"/>
        <family val="2"/>
      </rPr>
      <t>↔</t>
    </r>
  </si>
  <si>
    <r>
      <t xml:space="preserve">g = plowback x ROE     </t>
    </r>
    <r>
      <rPr>
        <sz val="10"/>
        <color theme="1"/>
        <rFont val="Calibri"/>
        <family val="2"/>
      </rPr>
      <t>↔</t>
    </r>
  </si>
  <si>
    <t xml:space="preserve">plowback = </t>
  </si>
  <si>
    <r>
      <t>D</t>
    </r>
    <r>
      <rPr>
        <vertAlign val="subscript"/>
        <sz val="10"/>
        <color theme="1"/>
        <rFont val="Calibri"/>
        <family val="2"/>
        <scheme val="minor"/>
      </rPr>
      <t>0</t>
    </r>
  </si>
  <si>
    <t>(already received)</t>
  </si>
  <si>
    <r>
      <t xml:space="preserve">T </t>
    </r>
    <r>
      <rPr>
        <vertAlign val="subscript"/>
        <sz val="10"/>
        <color theme="1"/>
        <rFont val="Calibri"/>
        <family val="2"/>
        <scheme val="minor"/>
      </rPr>
      <t>annuity</t>
    </r>
  </si>
  <si>
    <r>
      <t xml:space="preserve">g </t>
    </r>
    <r>
      <rPr>
        <vertAlign val="subscript"/>
        <sz val="10"/>
        <color theme="1"/>
        <rFont val="Calibri"/>
        <family val="2"/>
        <scheme val="minor"/>
      </rPr>
      <t>perpetuity</t>
    </r>
  </si>
  <si>
    <t>EPS</t>
  </si>
  <si>
    <t>P/O</t>
  </si>
  <si>
    <t>Project:</t>
  </si>
  <si>
    <r>
      <t xml:space="preserve">P </t>
    </r>
    <r>
      <rPr>
        <vertAlign val="subscript"/>
        <sz val="10"/>
        <color theme="1"/>
        <rFont val="Calibri"/>
        <family val="2"/>
        <scheme val="minor"/>
      </rPr>
      <t xml:space="preserve">cash-cow  </t>
    </r>
    <r>
      <rPr>
        <sz val="10"/>
        <color theme="1"/>
        <rFont val="Calibri"/>
        <family val="2"/>
        <scheme val="minor"/>
      </rPr>
      <t>=</t>
    </r>
  </si>
  <si>
    <t>NPVGO =</t>
  </si>
  <si>
    <t xml:space="preserve">P stock = </t>
  </si>
  <si>
    <t>Sales</t>
  </si>
  <si>
    <t>EBIT/Sales</t>
  </si>
  <si>
    <t>Depreciation = CAPEX</t>
  </si>
  <si>
    <t>NWC = 0</t>
  </si>
  <si>
    <t>EBIT =</t>
  </si>
  <si>
    <t>t</t>
  </si>
  <si>
    <r>
      <t>CAPEX</t>
    </r>
    <r>
      <rPr>
        <vertAlign val="subscript"/>
        <sz val="10"/>
        <color theme="1"/>
        <rFont val="Calibri"/>
        <family val="2"/>
        <scheme val="minor"/>
      </rPr>
      <t>0</t>
    </r>
  </si>
  <si>
    <r>
      <t>CF</t>
    </r>
    <r>
      <rPr>
        <vertAlign val="subscript"/>
        <sz val="10"/>
        <color theme="1"/>
        <rFont val="Calibri"/>
        <family val="2"/>
        <scheme val="minor"/>
      </rPr>
      <t>1</t>
    </r>
  </si>
  <si>
    <t>NPV =</t>
  </si>
  <si>
    <t>IRR</t>
  </si>
  <si>
    <t>PI</t>
  </si>
  <si>
    <r>
      <t>I</t>
    </r>
    <r>
      <rPr>
        <vertAlign val="subscript"/>
        <sz val="10"/>
        <color theme="1"/>
        <rFont val="Calibri"/>
        <family val="2"/>
        <scheme val="minor"/>
      </rPr>
      <t>1</t>
    </r>
  </si>
  <si>
    <r>
      <t>ROE</t>
    </r>
    <r>
      <rPr>
        <vertAlign val="subscript"/>
        <sz val="10"/>
        <color theme="1"/>
        <rFont val="Calibri"/>
        <family val="2"/>
        <scheme val="minor"/>
      </rPr>
      <t>2</t>
    </r>
  </si>
  <si>
    <r>
      <t>P/O</t>
    </r>
    <r>
      <rPr>
        <vertAlign val="subscript"/>
        <sz val="10"/>
        <color theme="1"/>
        <rFont val="Calibri"/>
        <family val="2"/>
        <scheme val="minor"/>
      </rPr>
      <t>1</t>
    </r>
  </si>
  <si>
    <r>
      <t xml:space="preserve">P/O </t>
    </r>
    <r>
      <rPr>
        <vertAlign val="subscript"/>
        <sz val="10"/>
        <color theme="1"/>
        <rFont val="Calibri"/>
        <family val="2"/>
        <scheme val="minor"/>
      </rPr>
      <t xml:space="preserve">2 </t>
    </r>
    <r>
      <rPr>
        <vertAlign val="subscript"/>
        <sz val="10"/>
        <color theme="1"/>
        <rFont val="Calibri"/>
        <family val="2"/>
      </rPr>
      <t xml:space="preserve">→ </t>
    </r>
    <r>
      <rPr>
        <vertAlign val="subscript"/>
        <sz val="11"/>
        <color theme="1"/>
        <rFont val="Calibri"/>
        <family val="2"/>
      </rPr>
      <t>forever</t>
    </r>
  </si>
  <si>
    <r>
      <t xml:space="preserve">g </t>
    </r>
    <r>
      <rPr>
        <vertAlign val="subscript"/>
        <sz val="10"/>
        <color theme="1"/>
        <rFont val="Calibri"/>
        <family val="2"/>
        <scheme val="minor"/>
      </rPr>
      <t>2 → forever</t>
    </r>
  </si>
  <si>
    <r>
      <t>P = (E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x 100%)/(1+10%) + [(E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x 40%)/(10% - 3%)]/(1 + 10%) </t>
    </r>
    <r>
      <rPr>
        <sz val="10"/>
        <color theme="1"/>
        <rFont val="Calibri"/>
        <family val="2"/>
      </rPr>
      <t>↔</t>
    </r>
  </si>
  <si>
    <t>P / E =</t>
  </si>
  <si>
    <t xml:space="preserve">FCF = </t>
  </si>
  <si>
    <r>
      <t xml:space="preserve">10.000 (1+ 4,08%)^T = 20.000 </t>
    </r>
    <r>
      <rPr>
        <sz val="10"/>
        <color theme="1"/>
        <rFont val="Calibri"/>
        <family val="2"/>
      </rPr>
      <t>↔</t>
    </r>
  </si>
  <si>
    <r>
      <t>P = (E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x 100%)/(1+10%) + [(E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x 60%)/(10% - 3%)]/(1 + 10%) </t>
    </r>
    <r>
      <rPr>
        <sz val="10"/>
        <color theme="1"/>
        <rFont val="Calibri"/>
        <family val="2"/>
      </rPr>
      <t>↔</t>
    </r>
  </si>
</sst>
</file>

<file path=xl/styles.xml><?xml version="1.0" encoding="utf-8"?>
<styleSheet xmlns="http://schemas.openxmlformats.org/spreadsheetml/2006/main">
  <numFmts count="4">
    <numFmt numFmtId="164" formatCode="0.0000%"/>
    <numFmt numFmtId="165" formatCode="#,##0.000"/>
    <numFmt numFmtId="166" formatCode="#,##0.0000"/>
    <numFmt numFmtId="167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4" fontId="4" fillId="0" borderId="0" xfId="1" applyNumberFormat="1" applyFont="1"/>
    <xf numFmtId="0" fontId="5" fillId="0" borderId="1" xfId="0" applyFont="1" applyBorder="1"/>
    <xf numFmtId="164" fontId="5" fillId="0" borderId="2" xfId="1" applyNumberFormat="1" applyFont="1" applyBorder="1"/>
    <xf numFmtId="164" fontId="5" fillId="0" borderId="0" xfId="1" applyNumberFormat="1" applyFont="1" applyBorder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9" fontId="4" fillId="0" borderId="0" xfId="1" applyFont="1"/>
    <xf numFmtId="10" fontId="4" fillId="0" borderId="0" xfId="1" applyNumberFormat="1" applyFont="1"/>
    <xf numFmtId="166" fontId="5" fillId="0" borderId="1" xfId="0" applyNumberFormat="1" applyFont="1" applyBorder="1"/>
    <xf numFmtId="166" fontId="5" fillId="0" borderId="2" xfId="0" applyNumberFormat="1" applyFont="1" applyBorder="1"/>
    <xf numFmtId="167" fontId="5" fillId="0" borderId="2" xfId="0" applyNumberFormat="1" applyFont="1" applyBorder="1"/>
    <xf numFmtId="0" fontId="8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2" xfId="0" applyNumberFormat="1" applyFont="1" applyBorder="1"/>
    <xf numFmtId="0" fontId="9" fillId="0" borderId="0" xfId="0" applyFont="1" applyAlignment="1">
      <alignment horizontal="left"/>
    </xf>
    <xf numFmtId="0" fontId="5" fillId="0" borderId="2" xfId="0" applyFont="1" applyBorder="1"/>
    <xf numFmtId="0" fontId="8" fillId="0" borderId="0" xfId="0" applyFont="1"/>
    <xf numFmtId="0" fontId="12" fillId="0" borderId="0" xfId="0" applyFont="1"/>
    <xf numFmtId="167" fontId="4" fillId="0" borderId="0" xfId="0" applyNumberFormat="1" applyFon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13" fillId="0" borderId="1" xfId="0" applyFont="1" applyBorder="1"/>
    <xf numFmtId="166" fontId="13" fillId="0" borderId="2" xfId="0" applyNumberFormat="1" applyFont="1" applyBorder="1"/>
    <xf numFmtId="164" fontId="13" fillId="0" borderId="2" xfId="0" applyNumberFormat="1" applyFont="1" applyBorder="1"/>
    <xf numFmtId="0" fontId="13" fillId="0" borderId="2" xfId="0" applyFont="1" applyBorder="1"/>
    <xf numFmtId="164" fontId="13" fillId="0" borderId="2" xfId="1" applyNumberFormat="1" applyFont="1" applyBorder="1"/>
    <xf numFmtId="167" fontId="13" fillId="0" borderId="2" xfId="0" applyNumberFormat="1" applyFont="1" applyBorder="1"/>
    <xf numFmtId="166" fontId="13" fillId="0" borderId="1" xfId="0" applyNumberFormat="1" applyFont="1" applyBorder="1"/>
    <xf numFmtId="9" fontId="14" fillId="0" borderId="0" xfId="0" applyNumberFormat="1" applyFont="1"/>
    <xf numFmtId="164" fontId="14" fillId="0" borderId="0" xfId="0" applyNumberFormat="1" applyFont="1"/>
    <xf numFmtId="10" fontId="14" fillId="0" borderId="0" xfId="0" applyNumberFormat="1" applyFont="1"/>
    <xf numFmtId="0" fontId="14" fillId="0" borderId="0" xfId="0" applyFont="1"/>
    <xf numFmtId="9" fontId="1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showGridLines="0" zoomScaleNormal="100" workbookViewId="0"/>
  </sheetViews>
  <sheetFormatPr defaultRowHeight="12.75"/>
  <cols>
    <col min="1" max="1" width="10.42578125" style="10" customWidth="1"/>
    <col min="2" max="2" width="7.7109375" style="3" bestFit="1" customWidth="1"/>
    <col min="3" max="3" width="9.140625" style="3"/>
    <col min="4" max="4" width="10.7109375" style="3" customWidth="1"/>
    <col min="5" max="5" width="10.85546875" style="3" bestFit="1" customWidth="1"/>
    <col min="6" max="6" width="10.28515625" style="3" bestFit="1" customWidth="1"/>
    <col min="7" max="7" width="9.140625" style="3"/>
    <col min="8" max="8" width="8.85546875" style="3" bestFit="1" customWidth="1"/>
    <col min="9" max="9" width="9.85546875" style="3" bestFit="1" customWidth="1"/>
    <col min="10" max="16384" width="9.140625" style="3"/>
  </cols>
  <sheetData>
    <row r="1" spans="1:16" s="2" customFormat="1">
      <c r="A1" s="9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4.25">
      <c r="B3" s="3" t="s">
        <v>0</v>
      </c>
      <c r="C3" s="38">
        <v>0.05</v>
      </c>
      <c r="D3" s="4"/>
      <c r="E3" s="3" t="s">
        <v>1</v>
      </c>
      <c r="H3" s="3" t="s">
        <v>9</v>
      </c>
      <c r="I3" s="3">
        <v>4</v>
      </c>
      <c r="K3" s="3" t="s">
        <v>2</v>
      </c>
      <c r="L3" s="5">
        <f>(1+C3/I3)^I3-1</f>
        <v>5.0945336914062445E-2</v>
      </c>
    </row>
    <row r="4" spans="1:16" ht="14.25">
      <c r="B4" s="6" t="s">
        <v>0</v>
      </c>
      <c r="C4" s="7">
        <f>((1+L3)^(1/I4)-1)*I4</f>
        <v>4.9793101479052027E-2</v>
      </c>
      <c r="D4" s="8"/>
      <c r="E4" s="3" t="s">
        <v>3</v>
      </c>
      <c r="H4" s="3" t="s">
        <v>9</v>
      </c>
      <c r="I4" s="3">
        <v>12</v>
      </c>
    </row>
    <row r="7" spans="1:16">
      <c r="A7" s="9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4.25">
      <c r="A8" s="10" t="s">
        <v>4</v>
      </c>
      <c r="B8" s="14">
        <v>100000</v>
      </c>
    </row>
    <row r="9" spans="1:16">
      <c r="A9" s="10" t="s">
        <v>5</v>
      </c>
      <c r="B9" s="3">
        <v>5</v>
      </c>
    </row>
    <row r="10" spans="1:16" ht="14.25">
      <c r="A10" s="3" t="s">
        <v>9</v>
      </c>
      <c r="B10" s="3">
        <v>2</v>
      </c>
    </row>
    <row r="11" spans="1:16" ht="14.25">
      <c r="A11" s="10" t="s">
        <v>0</v>
      </c>
      <c r="B11" s="38">
        <v>0.08</v>
      </c>
      <c r="D11" s="3" t="s">
        <v>6</v>
      </c>
      <c r="E11" s="16">
        <f>B11/B10</f>
        <v>0.04</v>
      </c>
    </row>
    <row r="13" spans="1:16">
      <c r="D13" s="17" t="s">
        <v>8</v>
      </c>
      <c r="E13" s="18">
        <f>B8/(1-(1/(1+E11)^(B9*B10)))*E11</f>
        <v>12329.094433013639</v>
      </c>
    </row>
    <row r="16" spans="1:16">
      <c r="A16" s="9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0" t="s">
        <v>5</v>
      </c>
      <c r="B17" s="3">
        <v>2</v>
      </c>
    </row>
    <row r="18" spans="1:16">
      <c r="D18" s="17" t="s">
        <v>10</v>
      </c>
      <c r="E18" s="18">
        <f>E13/E11*(1-(1/(1+E11)^(B17*B10)))</f>
        <v>44753.321001808014</v>
      </c>
    </row>
    <row r="21" spans="1:16">
      <c r="A21" s="9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>
      <c r="A22" s="10" t="s">
        <v>4</v>
      </c>
      <c r="B22" s="14">
        <v>10000</v>
      </c>
    </row>
    <row r="23" spans="1:16">
      <c r="A23" s="10" t="s">
        <v>11</v>
      </c>
      <c r="B23" s="14">
        <v>20000</v>
      </c>
    </row>
    <row r="24" spans="1:16" ht="14.25">
      <c r="A24" s="10" t="s">
        <v>0</v>
      </c>
      <c r="B24" s="38">
        <v>0.02</v>
      </c>
      <c r="C24" s="3" t="s">
        <v>12</v>
      </c>
      <c r="F24" s="3" t="s">
        <v>9</v>
      </c>
      <c r="G24" s="3">
        <v>365</v>
      </c>
    </row>
    <row r="26" spans="1:16">
      <c r="A26" s="10" t="s">
        <v>2</v>
      </c>
      <c r="B26" s="16">
        <f>(1+B24/G24)^G24-1</f>
        <v>2.0200781032909898E-2</v>
      </c>
    </row>
    <row r="28" spans="1:16">
      <c r="C28" s="3" t="s">
        <v>13</v>
      </c>
      <c r="F28" s="6" t="s">
        <v>14</v>
      </c>
      <c r="G28" s="19">
        <f>LN(B23/B22)/LN(1+B26)</f>
        <v>34.658308535987942</v>
      </c>
    </row>
    <row r="31" spans="1:16">
      <c r="A31" s="9">
        <v>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>
      <c r="A32" s="10" t="s">
        <v>15</v>
      </c>
      <c r="B32" s="14">
        <v>40000</v>
      </c>
    </row>
    <row r="33" spans="1:16">
      <c r="A33" s="10" t="s">
        <v>16</v>
      </c>
      <c r="B33" s="38">
        <v>0.03</v>
      </c>
      <c r="D33" s="3" t="s">
        <v>20</v>
      </c>
      <c r="F33" s="11">
        <f>(B32/(B36-B33)*(1-((1+B33)/(1+B36))^B34))/(1+B36)^B37</f>
        <v>24174.468501599877</v>
      </c>
    </row>
    <row r="34" spans="1:16" ht="14.25">
      <c r="A34" s="10" t="s">
        <v>17</v>
      </c>
      <c r="B34" s="3">
        <v>10</v>
      </c>
    </row>
    <row r="35" spans="1:16">
      <c r="D35" s="3" t="s">
        <v>21</v>
      </c>
      <c r="H35" s="6" t="s">
        <v>8</v>
      </c>
      <c r="I35" s="18">
        <f>F33/(1-(1/(1+B36)^B37))*B36</f>
        <v>1564.1000985446974</v>
      </c>
    </row>
    <row r="36" spans="1:16">
      <c r="A36" s="10" t="s">
        <v>19</v>
      </c>
      <c r="B36" s="38">
        <v>0.06</v>
      </c>
    </row>
    <row r="37" spans="1:16" ht="14.25">
      <c r="A37" s="10" t="s">
        <v>18</v>
      </c>
      <c r="B37" s="3">
        <v>45</v>
      </c>
    </row>
    <row r="40" spans="1:16">
      <c r="A40" s="9">
        <v>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25">
      <c r="A41" s="10" t="s">
        <v>22</v>
      </c>
      <c r="B41" s="38">
        <v>0.06</v>
      </c>
      <c r="D41" s="3" t="s">
        <v>23</v>
      </c>
      <c r="G41" s="3" t="s">
        <v>9</v>
      </c>
      <c r="H41" s="3">
        <v>2</v>
      </c>
    </row>
    <row r="42" spans="1:16">
      <c r="A42" s="10" t="s">
        <v>11</v>
      </c>
      <c r="B42" s="3">
        <v>100</v>
      </c>
    </row>
    <row r="43" spans="1:16">
      <c r="A43" s="10" t="s">
        <v>24</v>
      </c>
      <c r="B43" s="38">
        <v>0.05</v>
      </c>
    </row>
    <row r="44" spans="1:16" ht="14.25">
      <c r="A44" s="10" t="s">
        <v>5</v>
      </c>
      <c r="B44" s="3">
        <v>5</v>
      </c>
      <c r="D44" s="3" t="s">
        <v>25</v>
      </c>
      <c r="F44" s="15">
        <f>B41/H41</f>
        <v>0.03</v>
      </c>
    </row>
    <row r="46" spans="1:16" ht="14.25">
      <c r="D46" s="3" t="s">
        <v>26</v>
      </c>
      <c r="F46" s="5">
        <f>(1+B43)^(1/H41)-1</f>
        <v>2.4695076595959931E-2</v>
      </c>
    </row>
    <row r="48" spans="1:16">
      <c r="D48" s="6" t="s">
        <v>27</v>
      </c>
      <c r="E48" s="18">
        <f>F44*B42/F46*(1-(1/(1+F46)^(H41*B44)))+B42/(1+B43)^B44</f>
        <v>104.65022694463576</v>
      </c>
    </row>
    <row r="50" spans="1:16">
      <c r="D50" s="20" t="s">
        <v>28</v>
      </c>
    </row>
    <row r="51" spans="1:16">
      <c r="D51" s="10"/>
      <c r="E51" s="3">
        <v>0.5</v>
      </c>
      <c r="F51" s="3">
        <v>1</v>
      </c>
      <c r="G51" s="3">
        <v>1.5</v>
      </c>
      <c r="H51" s="3">
        <v>2</v>
      </c>
      <c r="I51" s="3">
        <v>2.5</v>
      </c>
      <c r="J51" s="3">
        <v>3</v>
      </c>
      <c r="K51" s="3">
        <v>3.5</v>
      </c>
      <c r="L51" s="3">
        <v>4</v>
      </c>
      <c r="M51" s="3">
        <v>4.5</v>
      </c>
      <c r="N51" s="3">
        <v>5</v>
      </c>
    </row>
    <row r="52" spans="1:16">
      <c r="D52" s="3" t="s">
        <v>7</v>
      </c>
      <c r="E52" s="3">
        <f>F44*$B$42</f>
        <v>3</v>
      </c>
      <c r="F52" s="3">
        <f>E52</f>
        <v>3</v>
      </c>
      <c r="G52" s="3">
        <f t="shared" ref="G52:M52" si="0">F52</f>
        <v>3</v>
      </c>
      <c r="H52" s="3">
        <f t="shared" si="0"/>
        <v>3</v>
      </c>
      <c r="I52" s="3">
        <f t="shared" si="0"/>
        <v>3</v>
      </c>
      <c r="J52" s="3">
        <f t="shared" si="0"/>
        <v>3</v>
      </c>
      <c r="K52" s="3">
        <f t="shared" si="0"/>
        <v>3</v>
      </c>
      <c r="L52" s="3">
        <f t="shared" si="0"/>
        <v>3</v>
      </c>
      <c r="M52" s="3">
        <f t="shared" si="0"/>
        <v>3</v>
      </c>
      <c r="N52" s="3">
        <f>M52+B42</f>
        <v>103</v>
      </c>
    </row>
    <row r="53" spans="1:16">
      <c r="D53" s="3" t="s">
        <v>29</v>
      </c>
      <c r="E53" s="11">
        <f>E52/(1+$B$43)^E51</f>
        <v>2.9277002188455992</v>
      </c>
      <c r="F53" s="11">
        <f t="shared" ref="F53:N53" si="1">F52/(1+$B$43)^F51</f>
        <v>2.8571428571428572</v>
      </c>
      <c r="G53" s="11">
        <f t="shared" si="1"/>
        <v>2.7882859227100947</v>
      </c>
      <c r="H53" s="11">
        <f t="shared" si="1"/>
        <v>2.7210884353741496</v>
      </c>
      <c r="I53" s="11">
        <f t="shared" si="1"/>
        <v>2.6555104025810423</v>
      </c>
      <c r="J53" s="11">
        <f t="shared" si="1"/>
        <v>2.5915127955944279</v>
      </c>
      <c r="K53" s="11">
        <f t="shared" si="1"/>
        <v>2.5290575262676591</v>
      </c>
      <c r="L53" s="11">
        <f t="shared" si="1"/>
        <v>2.468107424375646</v>
      </c>
      <c r="M53" s="11">
        <f t="shared" si="1"/>
        <v>2.4086262154930087</v>
      </c>
      <c r="N53" s="11">
        <f t="shared" si="1"/>
        <v>80.703195146251275</v>
      </c>
    </row>
    <row r="55" spans="1:16">
      <c r="D55" s="3" t="s">
        <v>30</v>
      </c>
      <c r="E55" s="13">
        <f>SUM(E53:N53)</f>
        <v>104.65022694463576</v>
      </c>
    </row>
    <row r="58" spans="1:16">
      <c r="A58" s="9">
        <v>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0" t="s">
        <v>5</v>
      </c>
      <c r="B59" s="3">
        <f>5+2/12</f>
        <v>5.166666666666667</v>
      </c>
    </row>
    <row r="60" spans="1:16">
      <c r="D60" s="6" t="s">
        <v>31</v>
      </c>
      <c r="E60" s="18">
        <f>F44*B42/F46*(1-(1/(1+F46)^(H41*B44+1)))*(1+F46)^(4/6)+B42/(1+B43)^(B44+2/12)</f>
        <v>106.77839776521414</v>
      </c>
    </row>
    <row r="62" spans="1:16">
      <c r="D62" s="20" t="s">
        <v>28</v>
      </c>
    </row>
    <row r="63" spans="1:16">
      <c r="D63" s="10"/>
      <c r="E63" s="21">
        <f>2/12</f>
        <v>0.16666666666666666</v>
      </c>
      <c r="F63" s="12">
        <f>E51+$E$63</f>
        <v>0.66666666666666663</v>
      </c>
      <c r="G63" s="12">
        <f t="shared" ref="G63:O63" si="2">F51+$E$63</f>
        <v>1.1666666666666667</v>
      </c>
      <c r="H63" s="12">
        <f t="shared" si="2"/>
        <v>1.6666666666666667</v>
      </c>
      <c r="I63" s="12">
        <f t="shared" si="2"/>
        <v>2.1666666666666665</v>
      </c>
      <c r="J63" s="12">
        <f t="shared" si="2"/>
        <v>2.6666666666666665</v>
      </c>
      <c r="K63" s="12">
        <f t="shared" si="2"/>
        <v>3.1666666666666665</v>
      </c>
      <c r="L63" s="12">
        <f t="shared" si="2"/>
        <v>3.6666666666666665</v>
      </c>
      <c r="M63" s="12">
        <f t="shared" si="2"/>
        <v>4.166666666666667</v>
      </c>
      <c r="N63" s="12">
        <f t="shared" si="2"/>
        <v>4.666666666666667</v>
      </c>
      <c r="O63" s="12">
        <f t="shared" si="2"/>
        <v>5.166666666666667</v>
      </c>
    </row>
    <row r="64" spans="1:16">
      <c r="D64" s="3" t="s">
        <v>7</v>
      </c>
      <c r="E64" s="3">
        <f>E52</f>
        <v>3</v>
      </c>
      <c r="F64" s="3">
        <f>E64</f>
        <v>3</v>
      </c>
      <c r="G64" s="3">
        <f>F64</f>
        <v>3</v>
      </c>
      <c r="H64" s="3">
        <f t="shared" ref="H64:N64" si="3">G64</f>
        <v>3</v>
      </c>
      <c r="I64" s="3">
        <f t="shared" si="3"/>
        <v>3</v>
      </c>
      <c r="J64" s="3">
        <f t="shared" si="3"/>
        <v>3</v>
      </c>
      <c r="K64" s="3">
        <f t="shared" si="3"/>
        <v>3</v>
      </c>
      <c r="L64" s="3">
        <f t="shared" si="3"/>
        <v>3</v>
      </c>
      <c r="M64" s="3">
        <f t="shared" si="3"/>
        <v>3</v>
      </c>
      <c r="N64" s="3">
        <f t="shared" si="3"/>
        <v>3</v>
      </c>
      <c r="O64" s="3">
        <f>N52</f>
        <v>103</v>
      </c>
    </row>
    <row r="65" spans="1:16">
      <c r="D65" s="3" t="s">
        <v>29</v>
      </c>
      <c r="E65" s="11">
        <f>E64/(1+$B$43)^E63</f>
        <v>2.9757038362807164</v>
      </c>
      <c r="F65" s="11">
        <f t="shared" ref="F65:O65" si="4">F64/(1+$B$43)^F63</f>
        <v>2.903989590899581</v>
      </c>
      <c r="G65" s="11">
        <f t="shared" si="4"/>
        <v>2.8340036536006825</v>
      </c>
      <c r="H65" s="11">
        <f t="shared" si="4"/>
        <v>2.765704372285315</v>
      </c>
      <c r="I65" s="11">
        <f t="shared" si="4"/>
        <v>2.699051098667316</v>
      </c>
      <c r="J65" s="11">
        <f t="shared" si="4"/>
        <v>2.6340041640812526</v>
      </c>
      <c r="K65" s="11">
        <f t="shared" si="4"/>
        <v>2.5705248558736344</v>
      </c>
      <c r="L65" s="11">
        <f t="shared" si="4"/>
        <v>2.5085753943630977</v>
      </c>
      <c r="M65" s="11">
        <f t="shared" si="4"/>
        <v>2.4481189103558423</v>
      </c>
      <c r="N65" s="11">
        <f t="shared" si="4"/>
        <v>2.3891194232029496</v>
      </c>
      <c r="O65" s="11">
        <f t="shared" si="4"/>
        <v>80.049602465603712</v>
      </c>
    </row>
    <row r="67" spans="1:16">
      <c r="D67" s="3" t="s">
        <v>30</v>
      </c>
      <c r="E67" s="13">
        <f>SUM(E65:O65)</f>
        <v>106.77839776521409</v>
      </c>
    </row>
    <row r="70" spans="1:16">
      <c r="A70" s="9">
        <v>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0" t="s">
        <v>32</v>
      </c>
      <c r="B71" s="3">
        <f>E64*4/6</f>
        <v>2</v>
      </c>
    </row>
    <row r="72" spans="1:16">
      <c r="D72" s="6" t="s">
        <v>33</v>
      </c>
      <c r="E72" s="18">
        <f>E60-B71</f>
        <v>104.77839776521414</v>
      </c>
    </row>
    <row r="75" spans="1:16">
      <c r="A75" s="9">
        <v>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0" t="s">
        <v>34</v>
      </c>
      <c r="B76" s="40">
        <v>0.96150000000000002</v>
      </c>
    </row>
    <row r="77" spans="1:16">
      <c r="A77" s="10" t="s">
        <v>35</v>
      </c>
      <c r="B77" s="40">
        <v>0.86380000000000001</v>
      </c>
      <c r="E77" s="6" t="s">
        <v>36</v>
      </c>
      <c r="F77" s="7">
        <f>(B78/B77)^(1/3)-1</f>
        <v>5.0015234192047675E-2</v>
      </c>
    </row>
    <row r="78" spans="1:16">
      <c r="A78" s="10" t="s">
        <v>11</v>
      </c>
      <c r="B78" s="4">
        <v>1</v>
      </c>
    </row>
    <row r="81" spans="1:16">
      <c r="A81" s="9">
        <v>10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3" spans="1:16">
      <c r="E83" s="10" t="s">
        <v>38</v>
      </c>
      <c r="F83" s="22">
        <f>B78/B76-1</f>
        <v>4.0041601664066562E-2</v>
      </c>
    </row>
    <row r="85" spans="1:16">
      <c r="E85" s="6" t="s">
        <v>39</v>
      </c>
      <c r="F85" s="7">
        <f>((1+F77)^3/(1+F83))^(1/2)-1</f>
        <v>5.5037859695156621E-2</v>
      </c>
      <c r="H85" s="20" t="s">
        <v>28</v>
      </c>
      <c r="I85" s="11">
        <f>(1+F85)^2*(1+F83)-(1+F77)^3</f>
        <v>0</v>
      </c>
    </row>
    <row r="88" spans="1:16">
      <c r="A88" s="9">
        <v>11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0" t="s">
        <v>40</v>
      </c>
      <c r="B89" s="39">
        <v>5.2499999999999998E-2</v>
      </c>
    </row>
    <row r="90" spans="1:16">
      <c r="A90" s="10" t="s">
        <v>37</v>
      </c>
      <c r="B90" s="22">
        <f>F83</f>
        <v>4.0041601664066562E-2</v>
      </c>
      <c r="E90" s="3" t="s">
        <v>41</v>
      </c>
      <c r="F90" s="5">
        <f>((1+B90)*(1+B89))^(1/2)-1</f>
        <v>4.6252257226444327E-2</v>
      </c>
    </row>
    <row r="92" spans="1:16">
      <c r="A92" s="10" t="s">
        <v>22</v>
      </c>
      <c r="B92" s="38">
        <v>0.08</v>
      </c>
    </row>
    <row r="93" spans="1:16">
      <c r="A93" s="10" t="s">
        <v>11</v>
      </c>
      <c r="B93" s="3">
        <v>100</v>
      </c>
      <c r="E93" s="6" t="s">
        <v>33</v>
      </c>
      <c r="F93" s="18">
        <f>B92*B93/(1+B90)+(B92*B93+B93)/(1+F90)^2</f>
        <v>106.35423277909743</v>
      </c>
    </row>
    <row r="94" spans="1:16">
      <c r="A94" s="10" t="s">
        <v>5</v>
      </c>
      <c r="B94" s="3">
        <v>2</v>
      </c>
    </row>
    <row r="97" spans="1:16">
      <c r="A97" s="9">
        <v>12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0" t="s">
        <v>43</v>
      </c>
      <c r="B98" s="38">
        <v>0.1</v>
      </c>
    </row>
    <row r="99" spans="1:16">
      <c r="A99" s="10" t="s">
        <v>44</v>
      </c>
      <c r="B99" s="42">
        <v>0.01</v>
      </c>
      <c r="D99" s="3" t="s">
        <v>46</v>
      </c>
      <c r="F99" s="6" t="s">
        <v>45</v>
      </c>
      <c r="G99" s="23">
        <f>B98-B99</f>
        <v>9.0000000000000011E-2</v>
      </c>
    </row>
    <row r="103" spans="1:16">
      <c r="A103" s="9">
        <v>13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0" t="s">
        <v>16</v>
      </c>
      <c r="B104" s="38">
        <v>0.08</v>
      </c>
    </row>
    <row r="105" spans="1:16">
      <c r="A105" s="10" t="s">
        <v>42</v>
      </c>
      <c r="B105" s="38">
        <v>0.1</v>
      </c>
      <c r="D105" s="3" t="s">
        <v>47</v>
      </c>
      <c r="F105" s="6" t="s">
        <v>48</v>
      </c>
      <c r="G105" s="23">
        <f>B104/B105</f>
        <v>0.79999999999999993</v>
      </c>
    </row>
    <row r="108" spans="1:16">
      <c r="A108" s="9">
        <v>14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>
      <c r="A109" s="10" t="s">
        <v>49</v>
      </c>
      <c r="B109" s="41">
        <v>1</v>
      </c>
      <c r="C109" s="27" t="s">
        <v>50</v>
      </c>
    </row>
    <row r="110" spans="1:16" ht="14.25">
      <c r="A110" s="10" t="s">
        <v>51</v>
      </c>
      <c r="B110" s="3">
        <v>5</v>
      </c>
    </row>
    <row r="111" spans="1:16" ht="14.25">
      <c r="A111" s="10" t="s">
        <v>52</v>
      </c>
      <c r="B111" s="4">
        <v>0.03</v>
      </c>
      <c r="E111" s="6" t="s">
        <v>58</v>
      </c>
      <c r="F111" s="18">
        <f>B109/B112*(1-(1/(1+B112)^B110))+(B109*(1+B111)/(B112-B111))/(1+B112)^B110</f>
        <v>12.927200522993159</v>
      </c>
    </row>
    <row r="112" spans="1:16">
      <c r="A112" s="10" t="s">
        <v>43</v>
      </c>
      <c r="B112" s="4">
        <v>0.1</v>
      </c>
    </row>
    <row r="115" spans="1:16">
      <c r="A115" s="9">
        <v>15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0" t="s">
        <v>53</v>
      </c>
      <c r="B116" s="3">
        <v>1</v>
      </c>
    </row>
    <row r="117" spans="1:16" ht="14.25">
      <c r="A117" s="10" t="s">
        <v>54</v>
      </c>
      <c r="B117" s="4">
        <v>1</v>
      </c>
      <c r="D117" s="3" t="s">
        <v>56</v>
      </c>
      <c r="E117" s="3">
        <f>B116*B117/B118</f>
        <v>10</v>
      </c>
    </row>
    <row r="118" spans="1:16">
      <c r="A118" s="10" t="s">
        <v>43</v>
      </c>
      <c r="B118" s="38">
        <v>0.1</v>
      </c>
    </row>
    <row r="120" spans="1:16">
      <c r="A120" s="24" t="s">
        <v>55</v>
      </c>
    </row>
    <row r="121" spans="1:16" ht="14.25">
      <c r="A121" s="10" t="s">
        <v>70</v>
      </c>
      <c r="B121" s="3">
        <f>B116</f>
        <v>1</v>
      </c>
      <c r="D121" s="3" t="s">
        <v>57</v>
      </c>
      <c r="E121" s="13">
        <f>(-B121+(B122*B121)/B118)/(1+B118)</f>
        <v>1.8181818181818177</v>
      </c>
      <c r="H121" s="6" t="s">
        <v>58</v>
      </c>
      <c r="I121" s="18">
        <f>E117+E121</f>
        <v>11.818181818181818</v>
      </c>
    </row>
    <row r="122" spans="1:16" ht="14.25">
      <c r="A122" s="10" t="s">
        <v>71</v>
      </c>
      <c r="B122" s="4">
        <v>0.3</v>
      </c>
    </row>
    <row r="126" spans="1:16">
      <c r="A126" s="9">
        <v>16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>
      <c r="A127" s="10" t="s">
        <v>72</v>
      </c>
      <c r="B127" s="4">
        <v>1</v>
      </c>
    </row>
    <row r="128" spans="1:16" ht="18">
      <c r="A128" s="10" t="s">
        <v>73</v>
      </c>
      <c r="B128" s="38">
        <v>0.4</v>
      </c>
      <c r="D128" s="3" t="s">
        <v>75</v>
      </c>
      <c r="I128" s="6" t="s">
        <v>76</v>
      </c>
      <c r="J128" s="18">
        <f>(1+(B128/(B129-B130)))/(1+B129)</f>
        <v>6.1038961038961039</v>
      </c>
    </row>
    <row r="129" spans="1:16">
      <c r="A129" s="10" t="s">
        <v>43</v>
      </c>
      <c r="B129" s="4">
        <v>0.1</v>
      </c>
    </row>
    <row r="130" spans="1:16" ht="14.25">
      <c r="A130" s="10" t="s">
        <v>74</v>
      </c>
      <c r="B130" s="4">
        <v>0.03</v>
      </c>
      <c r="D130" s="4"/>
      <c r="E130" s="4"/>
    </row>
    <row r="133" spans="1:16">
      <c r="A133" s="9">
        <v>17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0" t="s">
        <v>59</v>
      </c>
      <c r="B134" s="3">
        <v>10</v>
      </c>
    </row>
    <row r="135" spans="1:16">
      <c r="A135" s="10" t="s">
        <v>60</v>
      </c>
      <c r="B135" s="4">
        <v>0.2</v>
      </c>
      <c r="E135" s="3" t="s">
        <v>63</v>
      </c>
      <c r="F135" s="3">
        <f>B135*B134</f>
        <v>2</v>
      </c>
    </row>
    <row r="136" spans="1:16">
      <c r="A136" s="10" t="s">
        <v>64</v>
      </c>
      <c r="B136" s="4">
        <v>0.3</v>
      </c>
    </row>
    <row r="137" spans="1:16">
      <c r="A137" s="10" t="s">
        <v>61</v>
      </c>
      <c r="E137" s="6" t="s">
        <v>77</v>
      </c>
      <c r="F137" s="25">
        <f>F135*(1-B136)</f>
        <v>1.4</v>
      </c>
    </row>
    <row r="138" spans="1:16">
      <c r="A138" s="10" t="s">
        <v>62</v>
      </c>
    </row>
    <row r="141" spans="1:16">
      <c r="A141" s="9">
        <v>18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>
      <c r="A142" s="10" t="s">
        <v>65</v>
      </c>
      <c r="B142" s="41">
        <v>60</v>
      </c>
    </row>
    <row r="143" spans="1:16" ht="14.25">
      <c r="A143" s="10" t="s">
        <v>66</v>
      </c>
      <c r="B143" s="41">
        <v>5</v>
      </c>
      <c r="E143" s="6" t="s">
        <v>67</v>
      </c>
      <c r="F143" s="25">
        <f>-B142+B143/(B145-B144)</f>
        <v>40</v>
      </c>
    </row>
    <row r="144" spans="1:16">
      <c r="A144" s="10" t="s">
        <v>16</v>
      </c>
      <c r="B144" s="4">
        <v>0.05</v>
      </c>
    </row>
    <row r="145" spans="1:16">
      <c r="A145" s="10" t="s">
        <v>43</v>
      </c>
      <c r="B145" s="4">
        <v>0.1</v>
      </c>
    </row>
    <row r="148" spans="1:16">
      <c r="A148" s="9">
        <v>19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50" spans="1:16">
      <c r="E150" s="6" t="s">
        <v>68</v>
      </c>
      <c r="F150" s="23">
        <f>B143/B142+B144</f>
        <v>0.13333333333333333</v>
      </c>
      <c r="H150" s="26" t="s">
        <v>28</v>
      </c>
      <c r="I150" s="3">
        <f>-B142+B143/(F150-B144)</f>
        <v>0</v>
      </c>
    </row>
    <row r="153" spans="1:16">
      <c r="A153" s="9">
        <v>20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5" spans="1:16">
      <c r="E155" s="6" t="s">
        <v>69</v>
      </c>
      <c r="F155" s="18">
        <f>F143/B142+1</f>
        <v>1.6666666666666665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5"/>
  <sheetViews>
    <sheetView showGridLines="0" tabSelected="1" zoomScaleNormal="100" workbookViewId="0"/>
  </sheetViews>
  <sheetFormatPr defaultRowHeight="12.75"/>
  <cols>
    <col min="1" max="1" width="10.42578125" style="10" customWidth="1"/>
    <col min="2" max="2" width="7.7109375" style="3" bestFit="1" customWidth="1"/>
    <col min="3" max="3" width="9.140625" style="3"/>
    <col min="4" max="4" width="10.7109375" style="3" customWidth="1"/>
    <col min="5" max="5" width="10.85546875" style="3" bestFit="1" customWidth="1"/>
    <col min="6" max="6" width="10.28515625" style="3" bestFit="1" customWidth="1"/>
    <col min="7" max="7" width="9.140625" style="3"/>
    <col min="8" max="8" width="9.140625" style="3" bestFit="1" customWidth="1"/>
    <col min="9" max="9" width="9.85546875" style="3" bestFit="1" customWidth="1"/>
    <col min="10" max="16384" width="9.140625" style="3"/>
  </cols>
  <sheetData>
    <row r="1" spans="1:16" s="2" customFormat="1">
      <c r="A1" s="29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1:16" ht="14.25">
      <c r="B3" s="3" t="s">
        <v>0</v>
      </c>
      <c r="C3" s="38">
        <v>0.1</v>
      </c>
      <c r="D3" s="4"/>
      <c r="E3" s="3" t="s">
        <v>1</v>
      </c>
      <c r="H3" s="3" t="s">
        <v>9</v>
      </c>
      <c r="I3" s="3">
        <v>4</v>
      </c>
      <c r="K3" s="3" t="s">
        <v>2</v>
      </c>
      <c r="L3" s="5">
        <f>(1+C3/I3)^I3-1</f>
        <v>0.10381289062499977</v>
      </c>
    </row>
    <row r="4" spans="1:16" ht="14.25">
      <c r="B4" s="31" t="s">
        <v>0</v>
      </c>
      <c r="C4" s="35">
        <f>((1+L3)^(1/I4)-1)*I4</f>
        <v>9.9178051308626003E-2</v>
      </c>
      <c r="D4" s="8"/>
      <c r="E4" s="3" t="s">
        <v>3</v>
      </c>
      <c r="H4" s="3" t="s">
        <v>9</v>
      </c>
      <c r="I4" s="3">
        <v>12</v>
      </c>
    </row>
    <row r="7" spans="1:16">
      <c r="A7" s="29">
        <v>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14.25">
      <c r="A8" s="10" t="s">
        <v>4</v>
      </c>
      <c r="B8" s="14">
        <v>100000</v>
      </c>
    </row>
    <row r="9" spans="1:16">
      <c r="A9" s="10" t="s">
        <v>5</v>
      </c>
      <c r="B9" s="3">
        <v>5</v>
      </c>
    </row>
    <row r="10" spans="1:16" ht="14.25">
      <c r="A10" s="3" t="s">
        <v>9</v>
      </c>
      <c r="B10" s="3">
        <v>2</v>
      </c>
    </row>
    <row r="11" spans="1:16" ht="14.25">
      <c r="A11" s="10" t="s">
        <v>0</v>
      </c>
      <c r="B11" s="38">
        <v>0.06</v>
      </c>
      <c r="D11" s="3" t="s">
        <v>6</v>
      </c>
      <c r="E11" s="16">
        <f>B11/B10</f>
        <v>0.03</v>
      </c>
    </row>
    <row r="13" spans="1:16">
      <c r="D13" s="37" t="s">
        <v>8</v>
      </c>
      <c r="E13" s="32">
        <f>B8/(1-(1/(1+E11)^(B9*B10)))*E11</f>
        <v>11723.050660515961</v>
      </c>
    </row>
    <row r="16" spans="1:16">
      <c r="A16" s="29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10" t="s">
        <v>5</v>
      </c>
      <c r="B17" s="3">
        <v>2</v>
      </c>
    </row>
    <row r="18" spans="1:16">
      <c r="D18" s="37" t="s">
        <v>10</v>
      </c>
      <c r="E18" s="32">
        <f>E13/E11*(1-(1/(1+E11)^(B17*B10)))</f>
        <v>43575.732886268896</v>
      </c>
    </row>
    <row r="21" spans="1:16">
      <c r="A21" s="29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14.25">
      <c r="A22" s="10" t="s">
        <v>4</v>
      </c>
      <c r="B22" s="14">
        <v>10000</v>
      </c>
    </row>
    <row r="23" spans="1:16">
      <c r="A23" s="10" t="s">
        <v>11</v>
      </c>
      <c r="B23" s="14">
        <v>20000</v>
      </c>
    </row>
    <row r="24" spans="1:16" ht="14.25">
      <c r="A24" s="10" t="s">
        <v>0</v>
      </c>
      <c r="B24" s="38">
        <v>0.04</v>
      </c>
      <c r="C24" s="3" t="s">
        <v>12</v>
      </c>
      <c r="F24" s="3" t="s">
        <v>9</v>
      </c>
      <c r="G24" s="3">
        <v>365</v>
      </c>
    </row>
    <row r="26" spans="1:16">
      <c r="A26" s="10" t="s">
        <v>2</v>
      </c>
      <c r="B26" s="16">
        <f>(1+B24/G24)^G24-1</f>
        <v>4.080849313239665E-2</v>
      </c>
    </row>
    <row r="28" spans="1:16">
      <c r="C28" s="3" t="s">
        <v>78</v>
      </c>
      <c r="F28" s="31" t="s">
        <v>14</v>
      </c>
      <c r="G28" s="36">
        <f>LN(B23/B22)/LN(1+B26)</f>
        <v>17.329629013362705</v>
      </c>
    </row>
    <row r="31" spans="1:16">
      <c r="A31" s="29">
        <v>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14.25">
      <c r="A32" s="10" t="s">
        <v>15</v>
      </c>
      <c r="B32" s="14">
        <v>40000</v>
      </c>
    </row>
    <row r="33" spans="1:16">
      <c r="A33" s="10" t="s">
        <v>16</v>
      </c>
      <c r="B33" s="38">
        <v>0.02</v>
      </c>
      <c r="D33" s="3" t="s">
        <v>20</v>
      </c>
      <c r="F33" s="11">
        <f>(B32/(B36-B33)*(1-((1+B33)/(1+B36))^B34))/(1+B36)^B37</f>
        <v>37342.675021418778</v>
      </c>
    </row>
    <row r="34" spans="1:16" ht="14.25">
      <c r="A34" s="10" t="s">
        <v>17</v>
      </c>
      <c r="B34" s="3">
        <v>10</v>
      </c>
    </row>
    <row r="35" spans="1:16">
      <c r="D35" s="3" t="s">
        <v>21</v>
      </c>
      <c r="H35" s="31" t="s">
        <v>8</v>
      </c>
      <c r="I35" s="32">
        <f>F33/(1-(1/(1+B36)^B37))*B36</f>
        <v>2100.9636732649428</v>
      </c>
    </row>
    <row r="36" spans="1:16">
      <c r="A36" s="10" t="s">
        <v>19</v>
      </c>
      <c r="B36" s="38">
        <v>0.05</v>
      </c>
    </row>
    <row r="37" spans="1:16" ht="14.25">
      <c r="A37" s="10" t="s">
        <v>18</v>
      </c>
      <c r="B37" s="3">
        <v>45</v>
      </c>
    </row>
    <row r="40" spans="1:16">
      <c r="A40" s="29">
        <v>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4.25">
      <c r="A41" s="10" t="s">
        <v>22</v>
      </c>
      <c r="B41" s="38">
        <v>0.09</v>
      </c>
      <c r="D41" s="3" t="s">
        <v>23</v>
      </c>
      <c r="G41" s="3" t="s">
        <v>9</v>
      </c>
      <c r="H41" s="3">
        <v>2</v>
      </c>
    </row>
    <row r="42" spans="1:16">
      <c r="A42" s="10" t="s">
        <v>11</v>
      </c>
      <c r="B42" s="3">
        <v>100</v>
      </c>
    </row>
    <row r="43" spans="1:16">
      <c r="A43" s="10" t="s">
        <v>24</v>
      </c>
      <c r="B43" s="38">
        <v>7.0000000000000007E-2</v>
      </c>
    </row>
    <row r="44" spans="1:16" ht="14.25">
      <c r="A44" s="10" t="s">
        <v>5</v>
      </c>
      <c r="B44" s="3">
        <v>5</v>
      </c>
      <c r="D44" s="3" t="s">
        <v>25</v>
      </c>
      <c r="F44" s="15">
        <f>B41/H41</f>
        <v>4.4999999999999998E-2</v>
      </c>
    </row>
    <row r="46" spans="1:16" ht="14.25">
      <c r="D46" s="3" t="s">
        <v>26</v>
      </c>
      <c r="F46" s="5">
        <f>(1+B43)^(1/H41)-1</f>
        <v>3.4408043278860045E-2</v>
      </c>
    </row>
    <row r="48" spans="1:16">
      <c r="D48" s="31" t="s">
        <v>27</v>
      </c>
      <c r="E48" s="32">
        <f>F44*B42/F46*(1-(1/(1+F46)^(H41*B44)))+B42/(1+B43)^B44</f>
        <v>108.83525384062099</v>
      </c>
    </row>
    <row r="50" spans="1:16">
      <c r="D50" s="20" t="s">
        <v>28</v>
      </c>
    </row>
    <row r="51" spans="1:16">
      <c r="D51" s="10"/>
      <c r="E51" s="3">
        <v>0.5</v>
      </c>
      <c r="F51" s="3">
        <v>1</v>
      </c>
      <c r="G51" s="3">
        <v>1.5</v>
      </c>
      <c r="H51" s="3">
        <v>2</v>
      </c>
      <c r="I51" s="3">
        <v>2.5</v>
      </c>
      <c r="J51" s="3">
        <v>3</v>
      </c>
      <c r="K51" s="3">
        <v>3.5</v>
      </c>
      <c r="L51" s="3">
        <v>4</v>
      </c>
      <c r="M51" s="3">
        <v>4.5</v>
      </c>
      <c r="N51" s="3">
        <v>5</v>
      </c>
    </row>
    <row r="52" spans="1:16">
      <c r="D52" s="3" t="s">
        <v>7</v>
      </c>
      <c r="E52" s="3">
        <f>F44*$B$42</f>
        <v>4.5</v>
      </c>
      <c r="F52" s="3">
        <f>E52</f>
        <v>4.5</v>
      </c>
      <c r="G52" s="3">
        <f t="shared" ref="G52:M52" si="0">F52</f>
        <v>4.5</v>
      </c>
      <c r="H52" s="3">
        <f t="shared" si="0"/>
        <v>4.5</v>
      </c>
      <c r="I52" s="3">
        <f t="shared" si="0"/>
        <v>4.5</v>
      </c>
      <c r="J52" s="3">
        <f t="shared" si="0"/>
        <v>4.5</v>
      </c>
      <c r="K52" s="3">
        <f t="shared" si="0"/>
        <v>4.5</v>
      </c>
      <c r="L52" s="3">
        <f t="shared" si="0"/>
        <v>4.5</v>
      </c>
      <c r="M52" s="3">
        <f t="shared" si="0"/>
        <v>4.5</v>
      </c>
      <c r="N52" s="3">
        <f>M52+B42</f>
        <v>104.5</v>
      </c>
    </row>
    <row r="53" spans="1:16">
      <c r="D53" s="3" t="s">
        <v>29</v>
      </c>
      <c r="E53" s="11">
        <f>E52/(1+$B$43)^E51</f>
        <v>4.350314200705486</v>
      </c>
      <c r="F53" s="11">
        <f t="shared" ref="F53:N53" si="1">F52/(1+$B$43)^F51</f>
        <v>4.2056074766355138</v>
      </c>
      <c r="G53" s="11">
        <f t="shared" si="1"/>
        <v>4.0657142062668088</v>
      </c>
      <c r="H53" s="11">
        <f t="shared" si="1"/>
        <v>3.9304742772294521</v>
      </c>
      <c r="I53" s="11">
        <f t="shared" si="1"/>
        <v>3.7997329030530924</v>
      </c>
      <c r="J53" s="11">
        <f t="shared" si="1"/>
        <v>3.6733404460088335</v>
      </c>
      <c r="K53" s="11">
        <f t="shared" si="1"/>
        <v>3.5511522458440115</v>
      </c>
      <c r="L53" s="11">
        <f t="shared" si="1"/>
        <v>3.4330284542138636</v>
      </c>
      <c r="M53" s="11">
        <f t="shared" si="1"/>
        <v>3.3188338746205712</v>
      </c>
      <c r="N53" s="11">
        <f t="shared" si="1"/>
        <v>74.507055756043343</v>
      </c>
    </row>
    <row r="55" spans="1:16">
      <c r="D55" s="3" t="s">
        <v>30</v>
      </c>
      <c r="E55" s="13">
        <f>SUM(E53:N53)</f>
        <v>108.83525384062096</v>
      </c>
    </row>
    <row r="58" spans="1:16">
      <c r="A58" s="29">
        <v>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>
      <c r="A59" s="10" t="s">
        <v>5</v>
      </c>
      <c r="B59" s="3">
        <f>5+2/12</f>
        <v>5.166666666666667</v>
      </c>
    </row>
    <row r="60" spans="1:16">
      <c r="D60" s="31" t="s">
        <v>31</v>
      </c>
      <c r="E60" s="32">
        <f>F44*B42/F46*(1-(1/(1+F46)^(H41*B44+1)))*(1+F46)^(4/6)+B42/(1+B43)^(B44+2/12)</f>
        <v>112.0644142313751</v>
      </c>
    </row>
    <row r="62" spans="1:16">
      <c r="D62" s="20" t="s">
        <v>28</v>
      </c>
    </row>
    <row r="63" spans="1:16">
      <c r="D63" s="10"/>
      <c r="E63" s="21">
        <f>2/12</f>
        <v>0.16666666666666666</v>
      </c>
      <c r="F63" s="12">
        <f>E51+$E$63</f>
        <v>0.66666666666666663</v>
      </c>
      <c r="G63" s="12">
        <f t="shared" ref="G63:O63" si="2">F51+$E$63</f>
        <v>1.1666666666666667</v>
      </c>
      <c r="H63" s="12">
        <f t="shared" si="2"/>
        <v>1.6666666666666667</v>
      </c>
      <c r="I63" s="12">
        <f t="shared" si="2"/>
        <v>2.1666666666666665</v>
      </c>
      <c r="J63" s="12">
        <f t="shared" si="2"/>
        <v>2.6666666666666665</v>
      </c>
      <c r="K63" s="12">
        <f t="shared" si="2"/>
        <v>3.1666666666666665</v>
      </c>
      <c r="L63" s="12">
        <f t="shared" si="2"/>
        <v>3.6666666666666665</v>
      </c>
      <c r="M63" s="12">
        <f t="shared" si="2"/>
        <v>4.166666666666667</v>
      </c>
      <c r="N63" s="12">
        <f t="shared" si="2"/>
        <v>4.666666666666667</v>
      </c>
      <c r="O63" s="12">
        <f t="shared" si="2"/>
        <v>5.166666666666667</v>
      </c>
    </row>
    <row r="64" spans="1:16">
      <c r="D64" s="3" t="s">
        <v>7</v>
      </c>
      <c r="E64" s="3">
        <f>E52</f>
        <v>4.5</v>
      </c>
      <c r="F64" s="3">
        <f>E64</f>
        <v>4.5</v>
      </c>
      <c r="G64" s="3">
        <f>F64</f>
        <v>4.5</v>
      </c>
      <c r="H64" s="3">
        <f t="shared" ref="H64:N64" si="3">G64</f>
        <v>4.5</v>
      </c>
      <c r="I64" s="3">
        <f t="shared" si="3"/>
        <v>4.5</v>
      </c>
      <c r="J64" s="3">
        <f t="shared" si="3"/>
        <v>4.5</v>
      </c>
      <c r="K64" s="3">
        <f t="shared" si="3"/>
        <v>4.5</v>
      </c>
      <c r="L64" s="3">
        <f t="shared" si="3"/>
        <v>4.5</v>
      </c>
      <c r="M64" s="3">
        <f t="shared" si="3"/>
        <v>4.5</v>
      </c>
      <c r="N64" s="3">
        <f t="shared" si="3"/>
        <v>4.5</v>
      </c>
      <c r="O64" s="3">
        <f>N52</f>
        <v>104.5</v>
      </c>
    </row>
    <row r="65" spans="1:16">
      <c r="D65" s="3" t="s">
        <v>29</v>
      </c>
      <c r="E65" s="11">
        <f>E64/(1+$B$43)^E63</f>
        <v>4.4495410470457086</v>
      </c>
      <c r="F65" s="11">
        <f t="shared" ref="F65:O65" si="4">F64/(1+$B$43)^F63</f>
        <v>4.3015336896855345</v>
      </c>
      <c r="G65" s="11">
        <f t="shared" si="4"/>
        <v>4.1584495766782323</v>
      </c>
      <c r="H65" s="11">
        <f t="shared" si="4"/>
        <v>4.0201249436313402</v>
      </c>
      <c r="I65" s="11">
        <f t="shared" si="4"/>
        <v>3.8864014735310577</v>
      </c>
      <c r="J65" s="11">
        <f t="shared" si="4"/>
        <v>3.7571261155433082</v>
      </c>
      <c r="K65" s="11">
        <f t="shared" si="4"/>
        <v>3.6321509098421099</v>
      </c>
      <c r="L65" s="11">
        <f t="shared" si="4"/>
        <v>3.5113328182647741</v>
      </c>
      <c r="M65" s="11">
        <f t="shared" si="4"/>
        <v>3.3945335606001028</v>
      </c>
      <c r="N65" s="11">
        <f t="shared" si="4"/>
        <v>3.2816194563222187</v>
      </c>
      <c r="O65" s="11">
        <f t="shared" si="4"/>
        <v>73.671600640230679</v>
      </c>
    </row>
    <row r="67" spans="1:16">
      <c r="D67" s="3" t="s">
        <v>30</v>
      </c>
      <c r="E67" s="13">
        <f>SUM(E65:O65)</f>
        <v>112.06441423137507</v>
      </c>
    </row>
    <row r="70" spans="1:16">
      <c r="A70" s="29">
        <v>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>
      <c r="A71" s="10" t="s">
        <v>32</v>
      </c>
      <c r="B71" s="28">
        <f>E64*4/6</f>
        <v>3</v>
      </c>
    </row>
    <row r="72" spans="1:16">
      <c r="D72" s="31" t="s">
        <v>33</v>
      </c>
      <c r="E72" s="32">
        <f>E60-B71</f>
        <v>109.0644142313751</v>
      </c>
    </row>
    <row r="75" spans="1:16">
      <c r="A75" s="29">
        <v>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>
      <c r="A76" s="10" t="s">
        <v>34</v>
      </c>
      <c r="B76" s="40">
        <v>0.95250000000000001</v>
      </c>
    </row>
    <row r="77" spans="1:16">
      <c r="A77" s="10" t="s">
        <v>35</v>
      </c>
      <c r="B77" s="40">
        <v>0.85580000000000001</v>
      </c>
      <c r="E77" s="31" t="s">
        <v>36</v>
      </c>
      <c r="F77" s="35">
        <f>(B78/B77)^(1/3)-1</f>
        <v>5.3276931725092513E-2</v>
      </c>
    </row>
    <row r="78" spans="1:16">
      <c r="A78" s="10" t="s">
        <v>11</v>
      </c>
      <c r="B78" s="4">
        <v>1</v>
      </c>
    </row>
    <row r="81" spans="1:16">
      <c r="A81" s="29">
        <v>10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3" spans="1:16">
      <c r="E83" s="10" t="s">
        <v>38</v>
      </c>
      <c r="F83" s="22">
        <f>B78/B76-1</f>
        <v>4.986876640419946E-2</v>
      </c>
    </row>
    <row r="85" spans="1:16">
      <c r="E85" s="31" t="s">
        <v>39</v>
      </c>
      <c r="F85" s="35">
        <f>((1+F77)^3/(1+F83))^(1/2)-1</f>
        <v>5.4985161087355294E-2</v>
      </c>
      <c r="H85" s="20" t="s">
        <v>28</v>
      </c>
      <c r="I85" s="11">
        <f>(1+F85)^2*(1+F83)-(1+F77)^3</f>
        <v>0</v>
      </c>
    </row>
    <row r="88" spans="1:16">
      <c r="A88" s="29">
        <v>11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>
      <c r="A89" s="10" t="s">
        <v>40</v>
      </c>
      <c r="B89" s="39">
        <v>5.45E-2</v>
      </c>
    </row>
    <row r="90" spans="1:16">
      <c r="A90" s="10" t="s">
        <v>37</v>
      </c>
      <c r="B90" s="22">
        <f>F83</f>
        <v>4.986876640419946E-2</v>
      </c>
      <c r="E90" s="3" t="s">
        <v>41</v>
      </c>
      <c r="F90" s="5">
        <f>((1+B90)*(1+B89))^(1/2)-1</f>
        <v>5.2181835127953713E-2</v>
      </c>
    </row>
    <row r="92" spans="1:16">
      <c r="A92" s="10" t="s">
        <v>22</v>
      </c>
      <c r="B92" s="38">
        <v>0.06</v>
      </c>
    </row>
    <row r="93" spans="1:16">
      <c r="A93" s="10" t="s">
        <v>11</v>
      </c>
      <c r="B93" s="3">
        <v>100</v>
      </c>
      <c r="E93" s="31" t="s">
        <v>33</v>
      </c>
      <c r="F93" s="32">
        <f>B92*B93/(1+B90)+(B92*B93+B93)/(1+F90)^2</f>
        <v>101.46179943100996</v>
      </c>
    </row>
    <row r="94" spans="1:16">
      <c r="A94" s="10" t="s">
        <v>5</v>
      </c>
      <c r="B94" s="3">
        <v>2</v>
      </c>
    </row>
    <row r="97" spans="1:16">
      <c r="A97" s="29">
        <v>12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>
      <c r="A98" s="10" t="s">
        <v>43</v>
      </c>
      <c r="B98" s="38">
        <v>0.12</v>
      </c>
    </row>
    <row r="99" spans="1:16">
      <c r="A99" s="10" t="s">
        <v>44</v>
      </c>
      <c r="B99" s="4">
        <v>0.01</v>
      </c>
      <c r="D99" s="3" t="s">
        <v>46</v>
      </c>
      <c r="F99" s="31" t="s">
        <v>45</v>
      </c>
      <c r="G99" s="33">
        <f>B98-B99</f>
        <v>0.11</v>
      </c>
    </row>
    <row r="103" spans="1:16">
      <c r="A103" s="29">
        <v>13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>
      <c r="A104" s="10" t="s">
        <v>16</v>
      </c>
      <c r="B104" s="38">
        <v>0.09</v>
      </c>
    </row>
    <row r="105" spans="1:16">
      <c r="A105" s="10" t="s">
        <v>42</v>
      </c>
      <c r="B105" s="38">
        <v>0.12</v>
      </c>
      <c r="D105" s="3" t="s">
        <v>47</v>
      </c>
      <c r="F105" s="31" t="s">
        <v>48</v>
      </c>
      <c r="G105" s="33">
        <f>B104/B105</f>
        <v>0.75</v>
      </c>
    </row>
    <row r="108" spans="1:16">
      <c r="A108" s="29">
        <v>14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ht="14.25">
      <c r="A109" s="10" t="s">
        <v>49</v>
      </c>
      <c r="B109" s="41">
        <v>2</v>
      </c>
      <c r="C109" s="27" t="s">
        <v>50</v>
      </c>
    </row>
    <row r="110" spans="1:16" ht="14.25">
      <c r="A110" s="10" t="s">
        <v>51</v>
      </c>
      <c r="B110" s="3">
        <v>5</v>
      </c>
    </row>
    <row r="111" spans="1:16" ht="14.25">
      <c r="A111" s="10" t="s">
        <v>52</v>
      </c>
      <c r="B111" s="4">
        <v>0.03</v>
      </c>
      <c r="E111" s="31" t="s">
        <v>58</v>
      </c>
      <c r="F111" s="32">
        <f>B109/B112*(1-(1/(1+B112)^B110))+(B109*(1+B111)/(B112-B111))/(1+B112)^B110</f>
        <v>25.854401045986318</v>
      </c>
    </row>
    <row r="112" spans="1:16">
      <c r="A112" s="10" t="s">
        <v>43</v>
      </c>
      <c r="B112" s="4">
        <v>0.1</v>
      </c>
    </row>
    <row r="115" spans="1:16">
      <c r="A115" s="29">
        <v>15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1:16">
      <c r="A116" s="10" t="s">
        <v>53</v>
      </c>
      <c r="B116" s="3">
        <v>1</v>
      </c>
    </row>
    <row r="117" spans="1:16" ht="14.25">
      <c r="A117" s="10" t="s">
        <v>54</v>
      </c>
      <c r="B117" s="4">
        <v>1</v>
      </c>
      <c r="D117" s="3" t="s">
        <v>56</v>
      </c>
      <c r="E117" s="3">
        <f>B116*B117/B118</f>
        <v>20</v>
      </c>
    </row>
    <row r="118" spans="1:16">
      <c r="A118" s="10" t="s">
        <v>43</v>
      </c>
      <c r="B118" s="38">
        <v>0.05</v>
      </c>
    </row>
    <row r="120" spans="1:16">
      <c r="A120" s="24" t="s">
        <v>55</v>
      </c>
    </row>
    <row r="121" spans="1:16" ht="14.25">
      <c r="A121" s="10" t="s">
        <v>70</v>
      </c>
      <c r="B121" s="3">
        <f>B116</f>
        <v>1</v>
      </c>
      <c r="D121" s="3" t="s">
        <v>57</v>
      </c>
      <c r="E121" s="13">
        <f>(-B121+(B122*B121)/B118)/(1+B118)</f>
        <v>4.761904761904761</v>
      </c>
      <c r="H121" s="31" t="s">
        <v>58</v>
      </c>
      <c r="I121" s="32">
        <f>E117+E121</f>
        <v>24.761904761904759</v>
      </c>
    </row>
    <row r="122" spans="1:16" ht="14.25">
      <c r="A122" s="10" t="s">
        <v>71</v>
      </c>
      <c r="B122" s="4">
        <v>0.3</v>
      </c>
    </row>
    <row r="126" spans="1:16">
      <c r="A126" s="29">
        <v>16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 ht="14.25">
      <c r="A127" s="10" t="s">
        <v>72</v>
      </c>
      <c r="B127" s="4">
        <v>1</v>
      </c>
    </row>
    <row r="128" spans="1:16" ht="18">
      <c r="A128" s="10" t="s">
        <v>73</v>
      </c>
      <c r="B128" s="38">
        <v>0.6</v>
      </c>
      <c r="D128" s="3" t="s">
        <v>79</v>
      </c>
      <c r="I128" s="31" t="s">
        <v>76</v>
      </c>
      <c r="J128" s="32">
        <f>(1+(B128/(B129-B130)))/(1+B129)</f>
        <v>8.7012987012987004</v>
      </c>
    </row>
    <row r="129" spans="1:16">
      <c r="A129" s="10" t="s">
        <v>43</v>
      </c>
      <c r="B129" s="4">
        <v>0.1</v>
      </c>
    </row>
    <row r="130" spans="1:16" ht="14.25">
      <c r="A130" s="10" t="s">
        <v>74</v>
      </c>
      <c r="B130" s="4">
        <v>0.03</v>
      </c>
      <c r="D130" s="4"/>
      <c r="E130" s="4"/>
    </row>
    <row r="133" spans="1:16">
      <c r="A133" s="29">
        <v>17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>
      <c r="A134" s="10" t="s">
        <v>59</v>
      </c>
      <c r="B134" s="3">
        <v>10</v>
      </c>
    </row>
    <row r="135" spans="1:16">
      <c r="A135" s="10" t="s">
        <v>60</v>
      </c>
      <c r="B135" s="38">
        <v>0.25</v>
      </c>
      <c r="E135" s="3" t="s">
        <v>63</v>
      </c>
      <c r="F135" s="3">
        <f>B135*B134</f>
        <v>2.5</v>
      </c>
    </row>
    <row r="136" spans="1:16">
      <c r="A136" s="10" t="s">
        <v>64</v>
      </c>
      <c r="B136" s="4">
        <v>0.3</v>
      </c>
    </row>
    <row r="137" spans="1:16">
      <c r="A137" s="10" t="s">
        <v>61</v>
      </c>
      <c r="E137" s="31" t="s">
        <v>77</v>
      </c>
      <c r="F137" s="34">
        <f>F135*(1-B136)</f>
        <v>1.75</v>
      </c>
    </row>
    <row r="138" spans="1:16">
      <c r="A138" s="10" t="s">
        <v>62</v>
      </c>
    </row>
    <row r="141" spans="1:16">
      <c r="A141" s="29">
        <v>18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ht="14.25">
      <c r="A142" s="10" t="s">
        <v>65</v>
      </c>
      <c r="B142" s="41">
        <v>80</v>
      </c>
    </row>
    <row r="143" spans="1:16" ht="14.25">
      <c r="A143" s="10" t="s">
        <v>66</v>
      </c>
      <c r="B143" s="41">
        <v>7</v>
      </c>
      <c r="E143" s="31" t="s">
        <v>67</v>
      </c>
      <c r="F143" s="34">
        <f>-B142+B143/(B145-B144)</f>
        <v>60</v>
      </c>
    </row>
    <row r="144" spans="1:16">
      <c r="A144" s="10" t="s">
        <v>16</v>
      </c>
      <c r="B144" s="4">
        <v>0.05</v>
      </c>
    </row>
    <row r="145" spans="1:16">
      <c r="A145" s="10" t="s">
        <v>43</v>
      </c>
      <c r="B145" s="4">
        <v>0.1</v>
      </c>
    </row>
    <row r="148" spans="1:16">
      <c r="A148" s="29">
        <v>19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50" spans="1:16">
      <c r="E150" s="31" t="s">
        <v>68</v>
      </c>
      <c r="F150" s="33">
        <f>B143/B142+B144</f>
        <v>0.13750000000000001</v>
      </c>
      <c r="H150" s="26" t="s">
        <v>28</v>
      </c>
      <c r="I150" s="3">
        <f>-B142+B143/(F150-B144)</f>
        <v>0</v>
      </c>
    </row>
    <row r="153" spans="1:16">
      <c r="A153" s="29">
        <v>20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5" spans="1:16">
      <c r="E155" s="31" t="s">
        <v>69</v>
      </c>
      <c r="F155" s="32">
        <f>F143/B142+1</f>
        <v>1.75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A</vt:lpstr>
      <vt:lpstr>Version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2013-04-01T21:54:34Z</dcterms:modified>
</cp:coreProperties>
</file>