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01" i="1" l="1"/>
  <c r="C101" i="1"/>
  <c r="D51" i="1"/>
  <c r="D17" i="1"/>
  <c r="D16" i="1"/>
  <c r="D7" i="1"/>
  <c r="D49" i="1" l="1"/>
  <c r="D43" i="1"/>
  <c r="D39" i="1"/>
  <c r="D40" i="1" s="1"/>
  <c r="D27" i="1"/>
  <c r="E12" i="1"/>
  <c r="D12" i="1"/>
  <c r="D11" i="1"/>
  <c r="D10" i="1"/>
  <c r="E10" i="1" s="1"/>
  <c r="D8" i="1"/>
  <c r="E116" i="1"/>
  <c r="E115" i="1"/>
  <c r="E117" i="1" s="1"/>
  <c r="E97" i="1"/>
  <c r="E96" i="1"/>
  <c r="E95" i="1" s="1"/>
  <c r="E94" i="1" s="1"/>
  <c r="E91" i="1"/>
  <c r="E102" i="1"/>
  <c r="C100" i="1"/>
  <c r="C89" i="1"/>
  <c r="C90" i="1" s="1"/>
  <c r="C93" i="1"/>
  <c r="C88" i="1"/>
  <c r="C104" i="1" s="1"/>
  <c r="C87" i="1"/>
  <c r="C110" i="1" s="1"/>
  <c r="E71" i="1"/>
  <c r="C75" i="1"/>
  <c r="C78" i="1" s="1"/>
  <c r="C79" i="1" s="1"/>
  <c r="C69" i="1"/>
  <c r="C70" i="1" s="1"/>
  <c r="D61" i="1"/>
  <c r="D62" i="1" s="1"/>
  <c r="D64" i="1" s="1"/>
  <c r="D66" i="1" s="1"/>
  <c r="D58" i="1"/>
  <c r="C56" i="1" s="1"/>
  <c r="C66" i="1" s="1"/>
  <c r="D50" i="1" l="1"/>
  <c r="D52" i="1" s="1"/>
  <c r="D28" i="1"/>
  <c r="D30" i="1" s="1"/>
  <c r="D44" i="1"/>
  <c r="F97" i="1"/>
  <c r="C80" i="1"/>
  <c r="C102" i="1"/>
  <c r="C112" i="1" s="1"/>
  <c r="E110" i="1"/>
  <c r="E104" i="1"/>
  <c r="C105" i="1"/>
  <c r="C106" i="1" s="1"/>
  <c r="E113" i="1"/>
  <c r="C82" i="1"/>
  <c r="C113" i="1"/>
  <c r="E11" i="1"/>
  <c r="E78" i="1"/>
  <c r="E79" i="1" s="1"/>
  <c r="C94" i="1"/>
  <c r="C96" i="1" s="1"/>
  <c r="E112" i="1" l="1"/>
  <c r="D29" i="1"/>
  <c r="D33" i="1" s="1"/>
  <c r="E111" i="1"/>
  <c r="C111" i="1"/>
  <c r="C118" i="1" s="1"/>
  <c r="C108" i="1"/>
  <c r="D120" i="1" s="1"/>
  <c r="D35" i="1" l="1"/>
  <c r="D36" i="1"/>
  <c r="D34" i="1"/>
  <c r="E114" i="1"/>
  <c r="E118" i="1" s="1"/>
  <c r="C120" i="1"/>
</calcChain>
</file>

<file path=xl/sharedStrings.xml><?xml version="1.0" encoding="utf-8"?>
<sst xmlns="http://schemas.openxmlformats.org/spreadsheetml/2006/main" count="132" uniqueCount="99">
  <si>
    <t>a)</t>
  </si>
  <si>
    <t>I0</t>
  </si>
  <si>
    <t>CAPEX</t>
  </si>
  <si>
    <t>Sales</t>
  </si>
  <si>
    <t>COGS</t>
  </si>
  <si>
    <t>EBIT</t>
  </si>
  <si>
    <t>Taxes</t>
  </si>
  <si>
    <t>NOPLAT</t>
  </si>
  <si>
    <t>OCF</t>
  </si>
  <si>
    <t>FCF</t>
  </si>
  <si>
    <t>NWC</t>
  </si>
  <si>
    <t>Gross Profit</t>
  </si>
  <si>
    <t>DEP</t>
  </si>
  <si>
    <t>X</t>
  </si>
  <si>
    <t>-X</t>
  </si>
  <si>
    <t>1 to infinity</t>
  </si>
  <si>
    <t>Year</t>
  </si>
  <si>
    <t>D/E</t>
  </si>
  <si>
    <t>wD</t>
  </si>
  <si>
    <t>wE</t>
  </si>
  <si>
    <t>rD</t>
  </si>
  <si>
    <t xml:space="preserve">tax </t>
  </si>
  <si>
    <t>r0</t>
  </si>
  <si>
    <t>Beta Industry</t>
  </si>
  <si>
    <t>D/E Ind</t>
  </si>
  <si>
    <t>Beta0</t>
  </si>
  <si>
    <t>rf</t>
  </si>
  <si>
    <t>rM</t>
  </si>
  <si>
    <t>rE</t>
  </si>
  <si>
    <t>WACC</t>
  </si>
  <si>
    <t>BetaD</t>
  </si>
  <si>
    <t>BetaL</t>
  </si>
  <si>
    <t>NPV</t>
  </si>
  <si>
    <t>b)</t>
  </si>
  <si>
    <t>D</t>
  </si>
  <si>
    <t>E</t>
  </si>
  <si>
    <t>Shares</t>
  </si>
  <si>
    <t># Shares</t>
  </si>
  <si>
    <t>Share Price</t>
  </si>
  <si>
    <t>c)</t>
  </si>
  <si>
    <t>Bonds</t>
  </si>
  <si>
    <t>PVTS</t>
  </si>
  <si>
    <t>PV Fin. Distress Costs</t>
  </si>
  <si>
    <t>NPVF</t>
  </si>
  <si>
    <t>Fin CF</t>
  </si>
  <si>
    <t>NPV0</t>
  </si>
  <si>
    <t>ci)</t>
  </si>
  <si>
    <t>cii)</t>
  </si>
  <si>
    <t>Old VL</t>
  </si>
  <si>
    <t>Cash</t>
  </si>
  <si>
    <t>EV</t>
  </si>
  <si>
    <t>Old Equity</t>
  </si>
  <si>
    <t>Old Debt</t>
  </si>
  <si>
    <t>EQUITY</t>
  </si>
  <si>
    <t>Issued Equity</t>
  </si>
  <si>
    <t>New Debt</t>
  </si>
  <si>
    <t>DEBT</t>
  </si>
  <si>
    <t>New Share Price</t>
  </si>
  <si>
    <t>Spot 0.5</t>
  </si>
  <si>
    <t>Spot 1</t>
  </si>
  <si>
    <t>Spot 1.5</t>
  </si>
  <si>
    <t>Spot 2</t>
  </si>
  <si>
    <t>coupon</t>
  </si>
  <si>
    <t>B</t>
  </si>
  <si>
    <t>f 0.5,1</t>
  </si>
  <si>
    <t>f 0.5,2</t>
  </si>
  <si>
    <t>f 0.5,1.5</t>
  </si>
  <si>
    <t>check</t>
  </si>
  <si>
    <t>FV</t>
  </si>
  <si>
    <t>CP</t>
  </si>
  <si>
    <t>B=CP</t>
  </si>
  <si>
    <t>A</t>
  </si>
  <si>
    <t>E(R)</t>
  </si>
  <si>
    <t>Return</t>
  </si>
  <si>
    <t>Risk</t>
  </si>
  <si>
    <t>Mkt</t>
  </si>
  <si>
    <t>Rf</t>
  </si>
  <si>
    <t>CovA,B</t>
  </si>
  <si>
    <t>wA Tangency</t>
  </si>
  <si>
    <t>wB Tangency</t>
  </si>
  <si>
    <t>st. Dev</t>
  </si>
  <si>
    <t>Risk Aversion</t>
  </si>
  <si>
    <t>wA*</t>
  </si>
  <si>
    <t>wB*</t>
  </si>
  <si>
    <t>wT*</t>
  </si>
  <si>
    <t>wRf*</t>
  </si>
  <si>
    <t>Cov C,Mkt</t>
  </si>
  <si>
    <t>Beta C</t>
  </si>
  <si>
    <t>r</t>
  </si>
  <si>
    <t>Earnings</t>
  </si>
  <si>
    <t>EPS</t>
  </si>
  <si>
    <t>P</t>
  </si>
  <si>
    <t>d)</t>
  </si>
  <si>
    <t>Ret. Ratio</t>
  </si>
  <si>
    <t>NPV2</t>
  </si>
  <si>
    <t>Ret. on earnings</t>
  </si>
  <si>
    <t>g</t>
  </si>
  <si>
    <t>NPVGO</t>
  </si>
  <si>
    <t>New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</si>
</sst>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%"/>
    <numFmt numFmtId="165" formatCode="0.000%"/>
    <numFmt numFmtId="166" formatCode="0.0000%"/>
  </numFmts>
  <fonts count="4" x14ac:knownFonts="1">
    <font>
      <sz val="10"/>
      <color theme="1"/>
      <name val="Palatino Linotype"/>
      <family val="2"/>
    </font>
    <font>
      <sz val="10"/>
      <color theme="1"/>
      <name val="Palatino Linotype"/>
      <family val="2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8" fontId="0" fillId="0" borderId="0" xfId="0" applyNumberFormat="1"/>
    <xf numFmtId="8" fontId="0" fillId="0" borderId="0" xfId="0" applyNumberFormat="1" applyAlignment="1">
      <alignment horizontal="right"/>
    </xf>
    <xf numFmtId="8" fontId="0" fillId="0" borderId="0" xfId="0" quotePrefix="1" applyNumberFormat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0" fontId="0" fillId="0" borderId="1" xfId="0" applyBorder="1"/>
    <xf numFmtId="8" fontId="0" fillId="0" borderId="2" xfId="0" applyNumberFormat="1" applyBorder="1"/>
    <xf numFmtId="0" fontId="0" fillId="0" borderId="3" xfId="0" applyBorder="1"/>
    <xf numFmtId="8" fontId="0" fillId="0" borderId="4" xfId="0" applyNumberFormat="1" applyBorder="1"/>
    <xf numFmtId="0" fontId="0" fillId="0" borderId="4" xfId="0" applyBorder="1"/>
    <xf numFmtId="0" fontId="0" fillId="0" borderId="5" xfId="0" applyBorder="1"/>
    <xf numFmtId="8" fontId="0" fillId="0" borderId="6" xfId="0" applyNumberFormat="1" applyBorder="1"/>
    <xf numFmtId="0" fontId="0" fillId="0" borderId="7" xfId="0" applyBorder="1"/>
    <xf numFmtId="8" fontId="0" fillId="0" borderId="8" xfId="0" applyNumberFormat="1" applyBorder="1"/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4" fontId="0" fillId="0" borderId="0" xfId="0" applyNumberFormat="1"/>
    <xf numFmtId="164" fontId="2" fillId="0" borderId="0" xfId="0" applyNumberFormat="1" applyFont="1"/>
    <xf numFmtId="10" fontId="2" fillId="0" borderId="0" xfId="0" applyNumberFormat="1" applyFont="1"/>
    <xf numFmtId="10" fontId="0" fillId="0" borderId="0" xfId="1" applyNumberFormat="1" applyFont="1"/>
    <xf numFmtId="0" fontId="3" fillId="0" borderId="0" xfId="0" applyFont="1"/>
    <xf numFmtId="10" fontId="3" fillId="0" borderId="0" xfId="0" applyNumberFormat="1" applyFont="1"/>
    <xf numFmtId="3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01" workbookViewId="0">
      <selection activeCell="C100" sqref="C100"/>
    </sheetView>
  </sheetViews>
  <sheetFormatPr defaultRowHeight="15" x14ac:dyDescent="0.3"/>
  <cols>
    <col min="1" max="1" width="3.5703125" bestFit="1" customWidth="1"/>
    <col min="2" max="2" width="19.85546875" bestFit="1" customWidth="1"/>
    <col min="3" max="3" width="14.85546875" bestFit="1" customWidth="1"/>
    <col min="4" max="4" width="13.85546875" bestFit="1" customWidth="1"/>
    <col min="5" max="5" width="12.7109375" bestFit="1" customWidth="1"/>
    <col min="6" max="6" width="12" bestFit="1" customWidth="1"/>
  </cols>
  <sheetData>
    <row r="1" spans="1:9" x14ac:dyDescent="0.3">
      <c r="A1" s="1">
        <v>1</v>
      </c>
      <c r="B1" t="s">
        <v>58</v>
      </c>
      <c r="C1" s="9">
        <v>5.0000000000000001E-3</v>
      </c>
      <c r="D1" s="9"/>
    </row>
    <row r="2" spans="1:9" x14ac:dyDescent="0.3">
      <c r="B2" t="s">
        <v>59</v>
      </c>
      <c r="C2" s="9">
        <v>7.0000000000000001E-3</v>
      </c>
      <c r="D2" s="9"/>
      <c r="E2" s="9"/>
    </row>
    <row r="3" spans="1:9" x14ac:dyDescent="0.3">
      <c r="B3" t="s">
        <v>60</v>
      </c>
      <c r="C3" s="9">
        <v>1.4999999999999999E-2</v>
      </c>
      <c r="D3" s="9"/>
    </row>
    <row r="4" spans="1:9" x14ac:dyDescent="0.3">
      <c r="B4" t="s">
        <v>61</v>
      </c>
      <c r="C4" s="9">
        <v>1.9E-2</v>
      </c>
      <c r="D4" s="9"/>
    </row>
    <row r="6" spans="1:9" x14ac:dyDescent="0.3">
      <c r="B6" t="s">
        <v>0</v>
      </c>
      <c r="C6" t="s">
        <v>62</v>
      </c>
      <c r="D6" s="7">
        <v>0.02</v>
      </c>
    </row>
    <row r="7" spans="1:9" x14ac:dyDescent="0.3">
      <c r="C7" s="29" t="s">
        <v>63</v>
      </c>
      <c r="D7" s="30">
        <f>D6/(1+C1)^0.5+(1+D6)/(1+C3)^1.5</f>
        <v>1.0174230937668316</v>
      </c>
    </row>
    <row r="8" spans="1:9" x14ac:dyDescent="0.3">
      <c r="C8" s="1" t="s">
        <v>69</v>
      </c>
      <c r="D8" s="27">
        <f>D7-D6*0.5</f>
        <v>1.0074230937668316</v>
      </c>
    </row>
    <row r="9" spans="1:9" x14ac:dyDescent="0.3">
      <c r="E9" t="s">
        <v>67</v>
      </c>
    </row>
    <row r="10" spans="1:9" x14ac:dyDescent="0.3">
      <c r="B10" t="s">
        <v>33</v>
      </c>
      <c r="C10" s="1" t="s">
        <v>64</v>
      </c>
      <c r="D10" s="27">
        <f>((1+C2)/(1+C1)^0.5)^2-1</f>
        <v>9.0039800995020958E-3</v>
      </c>
      <c r="E10" s="9">
        <f>(1+D10)^0.5*(C1+1)^0.5-1</f>
        <v>6.9999999999998952E-3</v>
      </c>
    </row>
    <row r="11" spans="1:9" x14ac:dyDescent="0.3">
      <c r="C11" s="1" t="s">
        <v>66</v>
      </c>
      <c r="D11" s="27">
        <f>((1+C3)^1.5/(1+C1)^0.5)-1</f>
        <v>2.0037251782931254E-2</v>
      </c>
      <c r="E11" s="9">
        <f>((1+D11)*(C1+1)^0.5)^(1/1.5)-1</f>
        <v>1.4999999999999902E-2</v>
      </c>
    </row>
    <row r="12" spans="1:9" x14ac:dyDescent="0.3">
      <c r="C12" s="1" t="s">
        <v>65</v>
      </c>
      <c r="D12" s="27">
        <f>((1+C4)^2/(C1+1)^0.5)^(1/1.5)-1</f>
        <v>2.3709872139686006E-2</v>
      </c>
      <c r="E12" s="28">
        <f>((1+D12)^1.5*(C1+1)^0.5)^0.5-1</f>
        <v>1.8999999999999906E-2</v>
      </c>
    </row>
    <row r="14" spans="1:9" x14ac:dyDescent="0.3">
      <c r="B14" t="s">
        <v>39</v>
      </c>
      <c r="C14" s="29" t="s">
        <v>62</v>
      </c>
      <c r="D14" s="7">
        <v>7.0000000000000007E-2</v>
      </c>
    </row>
    <row r="15" spans="1:9" x14ac:dyDescent="0.3">
      <c r="C15" s="29" t="s">
        <v>68</v>
      </c>
      <c r="D15" s="3">
        <v>100</v>
      </c>
    </row>
    <row r="16" spans="1:9" x14ac:dyDescent="0.3">
      <c r="B16" t="s">
        <v>46</v>
      </c>
      <c r="C16" s="1" t="s">
        <v>63</v>
      </c>
      <c r="D16" s="12">
        <f>(D14/2/(1+C1)^0.5+D14/2/(1+C2)+(1+D14/2)/(1+C3)^1.5)*100</f>
        <v>108.1811156108142</v>
      </c>
      <c r="F16" s="9"/>
      <c r="G16" s="9"/>
      <c r="H16" s="9"/>
      <c r="I16" s="9"/>
    </row>
    <row r="17" spans="1:5" x14ac:dyDescent="0.3">
      <c r="B17" t="s">
        <v>47</v>
      </c>
      <c r="C17" s="1" t="s">
        <v>70</v>
      </c>
      <c r="D17" s="12">
        <f>(D14/2/(1+D10)^0.5+(1+D14/2)/(1+D11))*100</f>
        <v>104.95123117638801</v>
      </c>
    </row>
    <row r="19" spans="1:5" x14ac:dyDescent="0.3">
      <c r="A19" s="1">
        <v>2</v>
      </c>
      <c r="D19" t="s">
        <v>73</v>
      </c>
      <c r="E19" t="s">
        <v>74</v>
      </c>
    </row>
    <row r="20" spans="1:5" x14ac:dyDescent="0.3">
      <c r="C20" t="s">
        <v>71</v>
      </c>
      <c r="D20" s="7">
        <v>0.1</v>
      </c>
      <c r="E20" s="7">
        <v>0.18</v>
      </c>
    </row>
    <row r="21" spans="1:5" x14ac:dyDescent="0.3">
      <c r="C21" t="s">
        <v>63</v>
      </c>
      <c r="D21" s="7">
        <v>0.22</v>
      </c>
      <c r="E21" s="7">
        <v>0.3</v>
      </c>
    </row>
    <row r="22" spans="1:5" x14ac:dyDescent="0.3">
      <c r="C22" t="s">
        <v>75</v>
      </c>
      <c r="D22" s="7">
        <v>0.15</v>
      </c>
      <c r="E22" s="7">
        <v>0.2</v>
      </c>
    </row>
    <row r="23" spans="1:5" x14ac:dyDescent="0.3">
      <c r="C23" t="s">
        <v>76</v>
      </c>
      <c r="D23" s="7">
        <v>0.03</v>
      </c>
    </row>
    <row r="25" spans="1:5" x14ac:dyDescent="0.3">
      <c r="C25" t="s">
        <v>77</v>
      </c>
      <c r="D25">
        <v>0</v>
      </c>
    </row>
    <row r="27" spans="1:5" x14ac:dyDescent="0.3">
      <c r="B27" t="s">
        <v>0</v>
      </c>
      <c r="C27" s="1" t="s">
        <v>78</v>
      </c>
      <c r="D27" s="26">
        <f>(D20-D23)*E21^2/((D20-D23)*E21^2+(D21-D23)*E20^2)</f>
        <v>0.5057803468208093</v>
      </c>
    </row>
    <row r="28" spans="1:5" x14ac:dyDescent="0.3">
      <c r="C28" s="1" t="s">
        <v>79</v>
      </c>
      <c r="D28" s="26">
        <f>1-D27</f>
        <v>0.4942196531791907</v>
      </c>
    </row>
    <row r="29" spans="1:5" x14ac:dyDescent="0.3">
      <c r="C29" s="34" t="s">
        <v>72</v>
      </c>
      <c r="D29" s="26">
        <f>D27*D20+D28*D21</f>
        <v>0.15930635838150289</v>
      </c>
    </row>
    <row r="30" spans="1:5" x14ac:dyDescent="0.3">
      <c r="C30" s="34" t="s">
        <v>80</v>
      </c>
      <c r="D30" s="26">
        <f>SQRT(D27^2*E20^2+D28^2*E21^2)</f>
        <v>0.17398603881354424</v>
      </c>
    </row>
    <row r="31" spans="1:5" x14ac:dyDescent="0.3">
      <c r="D31" s="8"/>
    </row>
    <row r="32" spans="1:5" x14ac:dyDescent="0.3">
      <c r="B32" t="s">
        <v>33</v>
      </c>
      <c r="C32" t="s">
        <v>81</v>
      </c>
      <c r="D32" s="25">
        <v>5</v>
      </c>
    </row>
    <row r="33" spans="2:4" x14ac:dyDescent="0.3">
      <c r="C33" s="1" t="s">
        <v>84</v>
      </c>
      <c r="D33" s="26">
        <f>(D29-D23)/(D32*D30^2)</f>
        <v>0.85432098765432118</v>
      </c>
    </row>
    <row r="34" spans="2:4" x14ac:dyDescent="0.3">
      <c r="C34" s="33" t="s">
        <v>82</v>
      </c>
      <c r="D34" s="32">
        <f>D33*D27</f>
        <v>0.43209876543209891</v>
      </c>
    </row>
    <row r="35" spans="2:4" x14ac:dyDescent="0.3">
      <c r="C35" s="33" t="s">
        <v>83</v>
      </c>
      <c r="D35" s="32">
        <f>D33*D28</f>
        <v>0.42222222222222228</v>
      </c>
    </row>
    <row r="36" spans="2:4" x14ac:dyDescent="0.3">
      <c r="C36" s="1" t="s">
        <v>85</v>
      </c>
      <c r="D36" s="26">
        <f>1-D33</f>
        <v>0.14567901234567882</v>
      </c>
    </row>
    <row r="37" spans="2:4" x14ac:dyDescent="0.3">
      <c r="D37" s="8"/>
    </row>
    <row r="38" spans="2:4" x14ac:dyDescent="0.3">
      <c r="B38" t="s">
        <v>39</v>
      </c>
      <c r="C38" t="s">
        <v>86</v>
      </c>
      <c r="D38" s="25">
        <v>0.05</v>
      </c>
    </row>
    <row r="39" spans="2:4" x14ac:dyDescent="0.3">
      <c r="C39" t="s">
        <v>87</v>
      </c>
      <c r="D39" s="25">
        <f>D38/E22^2</f>
        <v>1.2499999999999998</v>
      </c>
    </row>
    <row r="40" spans="2:4" x14ac:dyDescent="0.3">
      <c r="C40" t="s">
        <v>88</v>
      </c>
      <c r="D40" s="8">
        <f>D23+D39*(D22-D23)</f>
        <v>0.17999999999999997</v>
      </c>
    </row>
    <row r="41" spans="2:4" x14ac:dyDescent="0.3">
      <c r="C41" t="s">
        <v>89</v>
      </c>
      <c r="D41" s="3">
        <v>10000000</v>
      </c>
    </row>
    <row r="42" spans="2:4" x14ac:dyDescent="0.3">
      <c r="C42" t="s">
        <v>36</v>
      </c>
      <c r="D42" s="31">
        <v>2000000</v>
      </c>
    </row>
    <row r="43" spans="2:4" x14ac:dyDescent="0.3">
      <c r="C43" t="s">
        <v>90</v>
      </c>
      <c r="D43" s="3">
        <f>D41/D42</f>
        <v>5</v>
      </c>
    </row>
    <row r="44" spans="2:4" x14ac:dyDescent="0.3">
      <c r="C44" s="1" t="s">
        <v>91</v>
      </c>
      <c r="D44" s="12">
        <f>D43/D40</f>
        <v>27.777777777777782</v>
      </c>
    </row>
    <row r="45" spans="2:4" x14ac:dyDescent="0.3">
      <c r="D45" s="8"/>
    </row>
    <row r="46" spans="2:4" x14ac:dyDescent="0.3">
      <c r="B46" t="s">
        <v>92</v>
      </c>
      <c r="C46" t="s">
        <v>1</v>
      </c>
      <c r="D46" s="3">
        <v>8000000</v>
      </c>
    </row>
    <row r="47" spans="2:4" x14ac:dyDescent="0.3">
      <c r="C47" t="s">
        <v>93</v>
      </c>
      <c r="D47" s="7">
        <v>0.6</v>
      </c>
    </row>
    <row r="48" spans="2:4" x14ac:dyDescent="0.3">
      <c r="C48" t="s">
        <v>95</v>
      </c>
      <c r="D48" s="7">
        <v>0.19</v>
      </c>
    </row>
    <row r="49" spans="1:4" x14ac:dyDescent="0.3">
      <c r="C49" t="s">
        <v>96</v>
      </c>
      <c r="D49" s="8">
        <f>D48*D47</f>
        <v>0.11399999999999999</v>
      </c>
    </row>
    <row r="50" spans="1:4" x14ac:dyDescent="0.3">
      <c r="C50" t="s">
        <v>94</v>
      </c>
      <c r="D50" s="3">
        <f>-D47*D43+D47*D43*D48/D40</f>
        <v>0.16666666666666741</v>
      </c>
    </row>
    <row r="51" spans="1:4" x14ac:dyDescent="0.3">
      <c r="C51" t="s">
        <v>97</v>
      </c>
      <c r="D51" s="3">
        <f>(D50/(D40-D49)-D46/D42)/(1+D40)</f>
        <v>-1.2497859955486972</v>
      </c>
    </row>
    <row r="52" spans="1:4" x14ac:dyDescent="0.3">
      <c r="C52" s="1" t="s">
        <v>98</v>
      </c>
      <c r="D52" s="12">
        <f>D51+D44</f>
        <v>26.527991782229083</v>
      </c>
    </row>
    <row r="54" spans="1:4" x14ac:dyDescent="0.3">
      <c r="A54" s="1">
        <v>3</v>
      </c>
      <c r="B54" t="s">
        <v>16</v>
      </c>
      <c r="C54" s="6">
        <v>0</v>
      </c>
      <c r="D54" s="6" t="s">
        <v>15</v>
      </c>
    </row>
    <row r="55" spans="1:4" x14ac:dyDescent="0.3">
      <c r="A55" s="2"/>
      <c r="B55" t="s">
        <v>2</v>
      </c>
      <c r="C55" s="3">
        <v>210000</v>
      </c>
      <c r="D55" s="3"/>
    </row>
    <row r="56" spans="1:4" x14ac:dyDescent="0.3">
      <c r="B56" t="s">
        <v>10</v>
      </c>
      <c r="C56" s="3">
        <f>2/12*D58</f>
        <v>40000</v>
      </c>
      <c r="D56" s="3"/>
    </row>
    <row r="57" spans="1:4" x14ac:dyDescent="0.3">
      <c r="B57" t="s">
        <v>3</v>
      </c>
      <c r="C57" s="3"/>
      <c r="D57" s="3">
        <v>360000</v>
      </c>
    </row>
    <row r="58" spans="1:4" x14ac:dyDescent="0.3">
      <c r="B58" t="s">
        <v>4</v>
      </c>
      <c r="C58" s="3"/>
      <c r="D58" s="3">
        <f>D57-D59</f>
        <v>240000</v>
      </c>
    </row>
    <row r="59" spans="1:4" x14ac:dyDescent="0.3">
      <c r="B59" t="s">
        <v>11</v>
      </c>
      <c r="C59" s="3"/>
      <c r="D59" s="3">
        <v>120000</v>
      </c>
    </row>
    <row r="60" spans="1:4" x14ac:dyDescent="0.3">
      <c r="B60" t="s">
        <v>5</v>
      </c>
      <c r="C60" s="3"/>
      <c r="D60" s="3">
        <v>50000</v>
      </c>
    </row>
    <row r="61" spans="1:4" x14ac:dyDescent="0.3">
      <c r="B61" t="s">
        <v>6</v>
      </c>
      <c r="C61" s="3"/>
      <c r="D61" s="3">
        <f>0.25*D60</f>
        <v>12500</v>
      </c>
    </row>
    <row r="62" spans="1:4" x14ac:dyDescent="0.3">
      <c r="B62" t="s">
        <v>7</v>
      </c>
      <c r="C62" s="3"/>
      <c r="D62" s="3">
        <f>D60-D61</f>
        <v>37500</v>
      </c>
    </row>
    <row r="63" spans="1:4" x14ac:dyDescent="0.3">
      <c r="B63" t="s">
        <v>12</v>
      </c>
      <c r="C63" s="3"/>
      <c r="D63" s="4" t="s">
        <v>13</v>
      </c>
    </row>
    <row r="64" spans="1:4" x14ac:dyDescent="0.3">
      <c r="B64" t="s">
        <v>8</v>
      </c>
      <c r="C64" s="3"/>
      <c r="D64" s="3">
        <f>D62</f>
        <v>37500</v>
      </c>
    </row>
    <row r="65" spans="1:5" x14ac:dyDescent="0.3">
      <c r="B65" t="s">
        <v>2</v>
      </c>
      <c r="C65" s="3"/>
      <c r="D65" s="5" t="s">
        <v>14</v>
      </c>
    </row>
    <row r="66" spans="1:5" x14ac:dyDescent="0.3">
      <c r="B66" t="s">
        <v>9</v>
      </c>
      <c r="C66" s="3">
        <f>-C56-C55</f>
        <v>-250000</v>
      </c>
      <c r="D66" s="3">
        <f>D64</f>
        <v>37500</v>
      </c>
    </row>
    <row r="68" spans="1:5" x14ac:dyDescent="0.3">
      <c r="A68" t="s">
        <v>0</v>
      </c>
      <c r="B68" t="s">
        <v>17</v>
      </c>
      <c r="C68">
        <v>0.5</v>
      </c>
    </row>
    <row r="69" spans="1:5" x14ac:dyDescent="0.3">
      <c r="B69" t="s">
        <v>18</v>
      </c>
      <c r="C69">
        <f>C68/(1+C68)</f>
        <v>0.33333333333333331</v>
      </c>
    </row>
    <row r="70" spans="1:5" x14ac:dyDescent="0.3">
      <c r="B70" t="s">
        <v>19</v>
      </c>
      <c r="C70">
        <f>1-C69</f>
        <v>0.66666666666666674</v>
      </c>
    </row>
    <row r="71" spans="1:5" x14ac:dyDescent="0.3">
      <c r="B71" t="s">
        <v>20</v>
      </c>
      <c r="C71" s="7">
        <v>0.05</v>
      </c>
      <c r="D71" t="s">
        <v>30</v>
      </c>
      <c r="E71">
        <f>(C71-C76)/(C77-C76)</f>
        <v>0.40000000000000008</v>
      </c>
    </row>
    <row r="72" spans="1:5" x14ac:dyDescent="0.3">
      <c r="B72" t="s">
        <v>21</v>
      </c>
      <c r="C72" s="7">
        <v>0.25</v>
      </c>
    </row>
    <row r="73" spans="1:5" x14ac:dyDescent="0.3">
      <c r="B73" t="s">
        <v>23</v>
      </c>
      <c r="C73">
        <v>1.84</v>
      </c>
    </row>
    <row r="74" spans="1:5" x14ac:dyDescent="0.3">
      <c r="B74" t="s">
        <v>24</v>
      </c>
      <c r="C74">
        <v>0.2</v>
      </c>
    </row>
    <row r="75" spans="1:5" x14ac:dyDescent="0.3">
      <c r="B75" t="s">
        <v>25</v>
      </c>
      <c r="C75">
        <f>C73/(1+C74*(1-C72))</f>
        <v>1.6</v>
      </c>
    </row>
    <row r="76" spans="1:5" x14ac:dyDescent="0.3">
      <c r="B76" t="s">
        <v>26</v>
      </c>
      <c r="C76" s="7">
        <v>0.03</v>
      </c>
    </row>
    <row r="77" spans="1:5" x14ac:dyDescent="0.3">
      <c r="B77" t="s">
        <v>27</v>
      </c>
      <c r="C77" s="7">
        <v>0.08</v>
      </c>
    </row>
    <row r="78" spans="1:5" x14ac:dyDescent="0.3">
      <c r="B78" t="s">
        <v>22</v>
      </c>
      <c r="C78" s="9">
        <f>C76+C75*(C77-C76)</f>
        <v>0.11000000000000001</v>
      </c>
      <c r="D78" t="s">
        <v>31</v>
      </c>
      <c r="E78">
        <f>C75+(C75-E71)*C68*(1-C72)</f>
        <v>2.0499999999999998</v>
      </c>
    </row>
    <row r="79" spans="1:5" x14ac:dyDescent="0.3">
      <c r="B79" t="s">
        <v>28</v>
      </c>
      <c r="C79" s="9">
        <f>C78+(C78-C71)*C68*(1-C72)</f>
        <v>0.13250000000000001</v>
      </c>
      <c r="D79" t="s">
        <v>28</v>
      </c>
      <c r="E79" s="9">
        <f>C76+E78*(C77-C76)</f>
        <v>0.13250000000000001</v>
      </c>
    </row>
    <row r="80" spans="1:5" x14ac:dyDescent="0.3">
      <c r="B80" t="s">
        <v>29</v>
      </c>
      <c r="C80" s="10">
        <f>C79*C70+C69*C71*(1-C72)</f>
        <v>0.10083333333333334</v>
      </c>
    </row>
    <row r="82" spans="1:5" x14ac:dyDescent="0.3">
      <c r="B82" s="1" t="s">
        <v>32</v>
      </c>
      <c r="C82" s="12">
        <f>C66+D66/C80</f>
        <v>121900.82644628093</v>
      </c>
    </row>
    <row r="84" spans="1:5" x14ac:dyDescent="0.3">
      <c r="A84" t="s">
        <v>33</v>
      </c>
      <c r="B84" t="s">
        <v>34</v>
      </c>
      <c r="C84" s="3">
        <v>500000</v>
      </c>
    </row>
    <row r="85" spans="1:5" x14ac:dyDescent="0.3">
      <c r="B85" t="s">
        <v>37</v>
      </c>
      <c r="C85" s="25">
        <v>100000</v>
      </c>
    </row>
    <row r="86" spans="1:5" x14ac:dyDescent="0.3">
      <c r="B86" t="s">
        <v>38</v>
      </c>
      <c r="C86" s="3">
        <v>20</v>
      </c>
    </row>
    <row r="87" spans="1:5" x14ac:dyDescent="0.3">
      <c r="B87" t="s">
        <v>35</v>
      </c>
      <c r="C87" s="3">
        <f>C85*C86</f>
        <v>2000000</v>
      </c>
    </row>
    <row r="88" spans="1:5" x14ac:dyDescent="0.3">
      <c r="B88" t="s">
        <v>17</v>
      </c>
      <c r="C88">
        <f>C84/C87</f>
        <v>0.25</v>
      </c>
    </row>
    <row r="89" spans="1:5" x14ac:dyDescent="0.3">
      <c r="B89" t="s">
        <v>18</v>
      </c>
      <c r="C89" s="7">
        <f>C84/(C87+C84)</f>
        <v>0.2</v>
      </c>
    </row>
    <row r="90" spans="1:5" x14ac:dyDescent="0.3">
      <c r="B90" t="s">
        <v>19</v>
      </c>
      <c r="C90" s="7">
        <f>1-C89</f>
        <v>0.8</v>
      </c>
    </row>
    <row r="91" spans="1:5" x14ac:dyDescent="0.3">
      <c r="B91" t="s">
        <v>20</v>
      </c>
      <c r="C91" s="7">
        <v>0.05</v>
      </c>
      <c r="D91" t="s">
        <v>30</v>
      </c>
      <c r="E91">
        <f>(C91-C76)/(C77-C76)</f>
        <v>0.40000000000000008</v>
      </c>
    </row>
    <row r="92" spans="1:5" x14ac:dyDescent="0.3">
      <c r="B92" t="s">
        <v>31</v>
      </c>
      <c r="C92">
        <v>1.35</v>
      </c>
    </row>
    <row r="93" spans="1:5" x14ac:dyDescent="0.3">
      <c r="B93" t="s">
        <v>28</v>
      </c>
      <c r="C93" s="9">
        <f>C76+C92*(C77-C76)</f>
        <v>9.7500000000000003E-2</v>
      </c>
    </row>
    <row r="94" spans="1:5" x14ac:dyDescent="0.3">
      <c r="B94" t="s">
        <v>29</v>
      </c>
      <c r="C94" s="11">
        <f>C93*C90+C89*C91*(1-C72)</f>
        <v>8.550000000000002E-2</v>
      </c>
      <c r="E94">
        <f>E95-E97</f>
        <v>1.35</v>
      </c>
    </row>
    <row r="95" spans="1:5" x14ac:dyDescent="0.3">
      <c r="E95">
        <f>E96*1.2</f>
        <v>1.425</v>
      </c>
    </row>
    <row r="96" spans="1:5" x14ac:dyDescent="0.3">
      <c r="B96" s="1" t="s">
        <v>32</v>
      </c>
      <c r="C96" s="12">
        <f>C66+D66/C94</f>
        <v>188596.49122807005</v>
      </c>
      <c r="E96">
        <f>1+0.25*0.75</f>
        <v>1.1875</v>
      </c>
    </row>
    <row r="97" spans="1:6" x14ac:dyDescent="0.3">
      <c r="E97">
        <f>0.4*0.25*0.75</f>
        <v>7.5000000000000011E-2</v>
      </c>
      <c r="F97">
        <f>E97/E96</f>
        <v>6.3157894736842121E-2</v>
      </c>
    </row>
    <row r="98" spans="1:6" x14ac:dyDescent="0.3">
      <c r="A98" t="s">
        <v>39</v>
      </c>
      <c r="B98" t="s">
        <v>40</v>
      </c>
      <c r="C98" s="3">
        <v>150000</v>
      </c>
    </row>
    <row r="99" spans="1:6" x14ac:dyDescent="0.3">
      <c r="B99" t="s">
        <v>20</v>
      </c>
      <c r="C99" s="7">
        <v>0.05</v>
      </c>
    </row>
    <row r="100" spans="1:6" x14ac:dyDescent="0.3">
      <c r="B100" t="s">
        <v>41</v>
      </c>
      <c r="C100" s="3">
        <f>C72*C98</f>
        <v>37500</v>
      </c>
    </row>
    <row r="101" spans="1:6" x14ac:dyDescent="0.3">
      <c r="B101" t="s">
        <v>42</v>
      </c>
      <c r="C101" s="3">
        <f>-2%*20000/C99</f>
        <v>-8000</v>
      </c>
      <c r="D101" t="s">
        <v>44</v>
      </c>
      <c r="E101" s="3">
        <f>C99*C98*C72-2%*20000</f>
        <v>1475</v>
      </c>
    </row>
    <row r="102" spans="1:6" x14ac:dyDescent="0.3">
      <c r="B102" t="s">
        <v>43</v>
      </c>
      <c r="C102" s="3">
        <f>C100+C101</f>
        <v>29500</v>
      </c>
      <c r="D102" t="s">
        <v>43</v>
      </c>
      <c r="E102" s="3">
        <f>E101/C99</f>
        <v>29500</v>
      </c>
    </row>
    <row r="104" spans="1:6" x14ac:dyDescent="0.3">
      <c r="B104" t="s">
        <v>25</v>
      </c>
      <c r="C104" s="13">
        <f>(C92+E91*C88*(1-C72))/(1+C88*(1-C72))</f>
        <v>1.2</v>
      </c>
      <c r="E104">
        <f>C104+(C104-E91)*C88*(1-C72)</f>
        <v>1.3499999999999999</v>
      </c>
    </row>
    <row r="105" spans="1:6" x14ac:dyDescent="0.3">
      <c r="B105" t="s">
        <v>22</v>
      </c>
      <c r="C105" s="9">
        <f>C76+(C77-C76)*C104</f>
        <v>0.09</v>
      </c>
    </row>
    <row r="106" spans="1:6" x14ac:dyDescent="0.3">
      <c r="B106" t="s">
        <v>45</v>
      </c>
      <c r="C106" s="3">
        <f>C66+D66/C105</f>
        <v>166666.66666666669</v>
      </c>
    </row>
    <row r="108" spans="1:6" x14ac:dyDescent="0.3">
      <c r="A108" t="s">
        <v>46</v>
      </c>
      <c r="B108" s="1" t="s">
        <v>32</v>
      </c>
      <c r="C108" s="12">
        <f>C106+C102</f>
        <v>196166.66666666669</v>
      </c>
    </row>
    <row r="109" spans="1:6" ht="15.75" thickBot="1" x14ac:dyDescent="0.35"/>
    <row r="110" spans="1:6" x14ac:dyDescent="0.3">
      <c r="A110" t="s">
        <v>47</v>
      </c>
      <c r="B110" s="14" t="s">
        <v>48</v>
      </c>
      <c r="C110" s="15">
        <f>C87+C84</f>
        <v>2500000</v>
      </c>
      <c r="D110" s="23" t="s">
        <v>51</v>
      </c>
      <c r="E110" s="15">
        <f>C87</f>
        <v>2000000</v>
      </c>
    </row>
    <row r="111" spans="1:6" x14ac:dyDescent="0.3">
      <c r="B111" s="16" t="s">
        <v>45</v>
      </c>
      <c r="C111" s="17">
        <f>C106</f>
        <v>166666.66666666669</v>
      </c>
      <c r="D111" s="24" t="s">
        <v>45</v>
      </c>
      <c r="E111" s="17">
        <f>C106</f>
        <v>166666.66666666669</v>
      </c>
    </row>
    <row r="112" spans="1:6" x14ac:dyDescent="0.3">
      <c r="B112" s="16" t="s">
        <v>43</v>
      </c>
      <c r="C112" s="17">
        <f>C102</f>
        <v>29500</v>
      </c>
      <c r="D112" s="24" t="s">
        <v>43</v>
      </c>
      <c r="E112" s="17">
        <f>C102</f>
        <v>29500</v>
      </c>
    </row>
    <row r="113" spans="1:5" x14ac:dyDescent="0.3">
      <c r="B113" s="16" t="s">
        <v>49</v>
      </c>
      <c r="C113" s="17">
        <f>-C66</f>
        <v>250000</v>
      </c>
      <c r="D113" s="24" t="s">
        <v>54</v>
      </c>
      <c r="E113" s="17">
        <f>-C66-E116</f>
        <v>100000</v>
      </c>
    </row>
    <row r="114" spans="1:5" x14ac:dyDescent="0.3">
      <c r="B114" s="16"/>
      <c r="C114" s="18"/>
      <c r="D114" s="21" t="s">
        <v>53</v>
      </c>
      <c r="E114" s="22">
        <f>SUM(E110:E113)</f>
        <v>2296166.6666666665</v>
      </c>
    </row>
    <row r="115" spans="1:5" x14ac:dyDescent="0.3">
      <c r="B115" s="16"/>
      <c r="C115" s="18"/>
      <c r="D115" s="24" t="s">
        <v>52</v>
      </c>
      <c r="E115" s="17">
        <f>C84</f>
        <v>500000</v>
      </c>
    </row>
    <row r="116" spans="1:5" x14ac:dyDescent="0.3">
      <c r="B116" s="16"/>
      <c r="C116" s="18"/>
      <c r="D116" s="24" t="s">
        <v>55</v>
      </c>
      <c r="E116" s="17">
        <f>C98</f>
        <v>150000</v>
      </c>
    </row>
    <row r="117" spans="1:5" x14ac:dyDescent="0.3">
      <c r="B117" s="16"/>
      <c r="C117" s="18"/>
      <c r="D117" s="21" t="s">
        <v>56</v>
      </c>
      <c r="E117" s="22">
        <f>SUM(E115:E116)</f>
        <v>650000</v>
      </c>
    </row>
    <row r="118" spans="1:5" ht="15.75" thickBot="1" x14ac:dyDescent="0.35">
      <c r="B118" s="19" t="s">
        <v>50</v>
      </c>
      <c r="C118" s="20">
        <f>SUM(C110:C113)</f>
        <v>2946166.6666666665</v>
      </c>
      <c r="D118" s="19" t="s">
        <v>50</v>
      </c>
      <c r="E118" s="20">
        <f>E117+E114</f>
        <v>2946166.6666666665</v>
      </c>
    </row>
    <row r="120" spans="1:5" x14ac:dyDescent="0.3">
      <c r="A120" t="s">
        <v>47</v>
      </c>
      <c r="B120" s="1" t="s">
        <v>57</v>
      </c>
      <c r="C120" s="12">
        <f>SUM(E110:E112)/C85</f>
        <v>21.961666666666666</v>
      </c>
      <c r="D120" s="3">
        <f>C86+C108/C85</f>
        <v>21.961666666666666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Fábio Santos</cp:lastModifiedBy>
  <dcterms:created xsi:type="dcterms:W3CDTF">2012-05-25T11:23:02Z</dcterms:created>
  <dcterms:modified xsi:type="dcterms:W3CDTF">2012-05-28T08:23:18Z</dcterms:modified>
</cp:coreProperties>
</file>